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3390" tabRatio="630" activeTab="0"/>
  </bookViews>
  <sheets>
    <sheet name="Data" sheetId="1" r:id="rId1"/>
    <sheet name="Komutacni" sheetId="2" r:id="rId2"/>
    <sheet name="Bezne" sheetId="3" r:id="rId3"/>
    <sheet name="Jednorazove" sheetId="4" r:id="rId4"/>
  </sheets>
  <externalReferences>
    <externalReference r:id="rId7"/>
  </externalReferences>
  <definedNames>
    <definedName name="Acq_cost_rat">#REF!</definedName>
    <definedName name="Adm_cost_rat">#REF!</definedName>
    <definedName name="Age">'Data'!$F$7</definedName>
    <definedName name="Alpha">#REF!</definedName>
    <definedName name="Betta">#REF!</definedName>
    <definedName name="Brate">#REF!</definedName>
    <definedName name="Coef">#REF!</definedName>
    <definedName name="coefAcc">#REF!</definedName>
    <definedName name="comm_override">#REF!</definedName>
    <definedName name="Comm_ratio">#REF!</definedName>
    <definedName name="comm_renew">#REF!</definedName>
    <definedName name="CommNum">'Komutacni'!$A$8:$K$109</definedName>
    <definedName name="DD_Nem">#REF!</definedName>
    <definedName name="DD_PUV">#REF!</definedName>
    <definedName name="Dur">'Data'!$F$8</definedName>
    <definedName name="durgar">'[1]Comm'!$F$3</definedName>
    <definedName name="durpoz">'[1]Comm'!$I$3</definedName>
    <definedName name="Emonth">#REF!</definedName>
    <definedName name="ex">'[1]Comm'!$C$7</definedName>
    <definedName name="ex_a">'[1]Roky'!$D$5</definedName>
    <definedName name="exp_loading">#REF!</definedName>
    <definedName name="Eyear">'Data'!#REF!</definedName>
    <definedName name="Freq">#REF!</definedName>
    <definedName name="from_a">'[1]Roky'!$D$3</definedName>
    <definedName name="i">'[1]Comm'!$C$4</definedName>
    <definedName name="I_comm_PC">#REF!</definedName>
    <definedName name="I_exp_PC">#REF!</definedName>
    <definedName name="IČ">#REF!</definedName>
    <definedName name="Infl">#REF!</definedName>
    <definedName name="Init_comm_rat">#REF!</definedName>
    <definedName name="Init_fix">#REF!</definedName>
    <definedName name="Init_pr">#REF!</definedName>
    <definedName name="interest">#REF!</definedName>
    <definedName name="jméno">#REF!</definedName>
    <definedName name="K_factor">#REF!</definedName>
    <definedName name="kontrolaDeath">#REF!</definedName>
    <definedName name="kontrolaID1">#REF!</definedName>
    <definedName name="kontrolaN1">#REF!</definedName>
    <definedName name="kontrolaOS1">#REF!</definedName>
    <definedName name="kontrolaPUV">#REF!</definedName>
    <definedName name="kontrolauraz">#REF!</definedName>
    <definedName name="korekcelhutni">#REF!</definedName>
    <definedName name="Lapse_PC">#REF!</definedName>
    <definedName name="lhAccposleve">#REF!</definedName>
    <definedName name="lhDeathposleve">#REF!</definedName>
    <definedName name="lhIDposleve">#REF!</definedName>
    <definedName name="lhOSposleve">#REF!</definedName>
    <definedName name="lhposleve">#REF!</definedName>
    <definedName name="lhůtnícelkem">#REF!</definedName>
    <definedName name="lhutniN1">#REF!</definedName>
    <definedName name="lhůtníposlevě">#REF!</definedName>
    <definedName name="lhutniPUV">#REF!</definedName>
    <definedName name="lhůtnísleva">#REF!</definedName>
    <definedName name="lhWOPposleve">#REF!</definedName>
    <definedName name="Margin">#REF!</definedName>
    <definedName name="mesicniposleve">#REF!</definedName>
    <definedName name="monAcc">#REF!</definedName>
    <definedName name="monAccposleve">#REF!</definedName>
    <definedName name="moncelkem">#REF!</definedName>
    <definedName name="monDeath">#REF!</definedName>
    <definedName name="monDeathposleve">#REF!</definedName>
    <definedName name="monID">#REF!</definedName>
    <definedName name="monIDposleve">#REF!</definedName>
    <definedName name="monMC">#REF!</definedName>
    <definedName name="monN1">#REF!</definedName>
    <definedName name="monOS">#REF!</definedName>
    <definedName name="monOSposleve">#REF!</definedName>
    <definedName name="monPUV">#REF!</definedName>
    <definedName name="monWOP">#REF!</definedName>
    <definedName name="monWOPposleve">#REF!</definedName>
    <definedName name="Mortal_PC">'Data'!#REF!</definedName>
    <definedName name="mpoprozprosteni">#REF!</definedName>
    <definedName name="mt">'[1]Comm'!$C$6</definedName>
    <definedName name="myPM">#REF!</definedName>
    <definedName name="nahoda">#REF!</definedName>
    <definedName name="nahoda1">#REF!</definedName>
    <definedName name="nahoda2">#REF!</definedName>
    <definedName name="NoPol">#REF!</definedName>
    <definedName name="NPcoc">#REF!</definedName>
    <definedName name="NPcom">#REF!</definedName>
    <definedName name="NPexp">#REF!</definedName>
    <definedName name="NPprem">#REF!</definedName>
    <definedName name="NPprof">#REF!</definedName>
    <definedName name="NPvalue">#REF!</definedName>
    <definedName name="Nrate">#REF!</definedName>
    <definedName name="P_factor">#REF!</definedName>
    <definedName name="parA">#REF!</definedName>
    <definedName name="parB">#REF!</definedName>
    <definedName name="parC">#REF!</definedName>
    <definedName name="pozadpojistne">#REF!</definedName>
    <definedName name="prem">'Data'!$F$4</definedName>
    <definedName name="Prem_disc">#REF!</definedName>
    <definedName name="premMC">#REF!</definedName>
    <definedName name="R_comm_PC">#REF!</definedName>
    <definedName name="R_exp_PC">#REF!</definedName>
    <definedName name="rategar">'[1]Comm'!$F$4</definedName>
    <definedName name="ratepoz">'[1]Comm'!$I$4</definedName>
    <definedName name="RDR">#REF!</definedName>
    <definedName name="Renew_fix">#REF!</definedName>
    <definedName name="Renew_pr">#REF!</definedName>
    <definedName name="reqPM">#REF!</definedName>
    <definedName name="ROE">#REF!</definedName>
    <definedName name="SAB">'Data'!#REF!</definedName>
    <definedName name="saDeath">#REF!</definedName>
    <definedName name="saID">#REF!</definedName>
    <definedName name="SAN">#REF!</definedName>
    <definedName name="saOS">#REF!</definedName>
    <definedName name="sens_SAB">#REF!</definedName>
    <definedName name="sesns_SAB">#REF!</definedName>
    <definedName name="Sex">'Data'!$F$6</definedName>
    <definedName name="slevaRS">#REF!</definedName>
    <definedName name="TIR">'Data'!#REF!</definedName>
    <definedName name="tisk0">#REF!</definedName>
    <definedName name="tisk01">#REF!</definedName>
    <definedName name="tisk02">#REF!</definedName>
    <definedName name="Tisk03">#REF!</definedName>
    <definedName name="Tisk04">#REF!</definedName>
    <definedName name="Tisk05">#REF!</definedName>
    <definedName name="Tisk06">#REF!</definedName>
    <definedName name="Tisk07">#REF!</definedName>
    <definedName name="Tisk08">#REF!</definedName>
    <definedName name="Tisk09">#REF!</definedName>
    <definedName name="Tisk10">#REF!</definedName>
    <definedName name="Tisk11">#REF!</definedName>
    <definedName name="Tisk12">#REF!</definedName>
    <definedName name="Tisk13">#REF!</definedName>
    <definedName name="Tisk14">#REF!</definedName>
    <definedName name="Tisk15">#REF!</definedName>
    <definedName name="Tisk16">#REF!</definedName>
    <definedName name="Tisk17">#REF!</definedName>
    <definedName name="Tisk18">#REF!</definedName>
    <definedName name="Tisk19">#REF!</definedName>
    <definedName name="Tisk20">#REF!</definedName>
    <definedName name="tisk21">#REF!</definedName>
    <definedName name="tisk22">#REF!</definedName>
    <definedName name="tisk23">#REF!</definedName>
    <definedName name="tisk24">#REF!</definedName>
    <definedName name="tisk25">#REF!</definedName>
    <definedName name="tisk26">#REF!</definedName>
    <definedName name="tisk27">#REF!</definedName>
    <definedName name="tisk28">#REF!</definedName>
    <definedName name="tisk29">#REF!</definedName>
    <definedName name="tisk30">#REF!</definedName>
    <definedName name="tisk31">#REF!</definedName>
    <definedName name="tisk32">#REF!</definedName>
    <definedName name="tisk33">#REF!</definedName>
    <definedName name="tisk34">#REF!</definedName>
    <definedName name="tisk35">#REF!</definedName>
    <definedName name="tisk36">#REF!</definedName>
    <definedName name="tisk37">#REF!</definedName>
    <definedName name="tisk38">#REF!</definedName>
    <definedName name="tisk39">#REF!</definedName>
    <definedName name="tisk40">#REF!</definedName>
    <definedName name="tisk41">#REF!</definedName>
    <definedName name="tisk42">#REF!</definedName>
    <definedName name="tisk43">#REF!</definedName>
    <definedName name="tisk44">#REF!</definedName>
    <definedName name="tisk45">#REF!</definedName>
    <definedName name="tisk46">#REF!</definedName>
    <definedName name="tisk47">#REF!</definedName>
    <definedName name="tisk48">#REF!</definedName>
    <definedName name="tisk49">#REF!</definedName>
    <definedName name="tisk50">#REF!</definedName>
    <definedName name="tisk51">#REF!</definedName>
    <definedName name="tisk52">#REF!</definedName>
    <definedName name="tisk53">#REF!</definedName>
    <definedName name="tisk54">#REF!</definedName>
    <definedName name="tisk55">#REF!</definedName>
    <definedName name="tisk56">#REF!</definedName>
    <definedName name="tisk57">#REF!</definedName>
    <definedName name="tisk58">#REF!</definedName>
    <definedName name="tisk59">#REF!</definedName>
    <definedName name="tisk60">#REF!</definedName>
    <definedName name="tisk61">#REF!</definedName>
    <definedName name="tisk62">#REF!</definedName>
    <definedName name="tisk63">#REF!</definedName>
    <definedName name="tisk64">#REF!</definedName>
    <definedName name="tisk65">#REF!</definedName>
    <definedName name="tisk66">#REF!</definedName>
    <definedName name="tisk67">#REF!</definedName>
    <definedName name="tisk68">#REF!</definedName>
    <definedName name="tisk69">#REF!</definedName>
    <definedName name="tisk70">#REF!</definedName>
    <definedName name="tisk71">#REF!</definedName>
    <definedName name="tisk72">#REF!</definedName>
    <definedName name="tisk73">#REF!</definedName>
    <definedName name="tisk74">#REF!</definedName>
    <definedName name="tisk75">#REF!</definedName>
    <definedName name="tisk76">#REF!</definedName>
    <definedName name="tisk77">#REF!</definedName>
    <definedName name="tisk78">#REF!</definedName>
    <definedName name="tisk79">#REF!</definedName>
    <definedName name="tisk80">#REF!</definedName>
    <definedName name="tisk81">#REF!</definedName>
    <definedName name="tisk82">#REF!</definedName>
    <definedName name="tisk83">#REF!</definedName>
    <definedName name="tisk84">#REF!</definedName>
    <definedName name="tisk85">#REF!</definedName>
    <definedName name="tisk86">#REF!</definedName>
    <definedName name="tisk87">#REF!</definedName>
    <definedName name="to_a">'[1]Roky'!$D$4</definedName>
    <definedName name="typAcc">#REF!</definedName>
    <definedName name="typDeath">#REF!</definedName>
    <definedName name="typMC">#REF!</definedName>
    <definedName name="typPUV">#REF!</definedName>
    <definedName name="v">'[1]Comm'!$C$5</definedName>
    <definedName name="WOP">#REF!</definedName>
    <definedName name="X">#REF!</definedName>
    <definedName name="year">'[1]Comm'!$C$3</definedName>
    <definedName name="year_a">'[1]Roky'!$D$2</definedName>
    <definedName name="zkouska">#REF!</definedName>
  </definedNames>
  <calcPr fullCalcOnLoad="1"/>
</workbook>
</file>

<file path=xl/sharedStrings.xml><?xml version="1.0" encoding="utf-8"?>
<sst xmlns="http://schemas.openxmlformats.org/spreadsheetml/2006/main" count="127" uniqueCount="73">
  <si>
    <t>Age</t>
  </si>
  <si>
    <t>Sex</t>
  </si>
  <si>
    <t>TUM</t>
  </si>
  <si>
    <t>discount</t>
  </si>
  <si>
    <t>l_x</t>
  </si>
  <si>
    <t>d_x</t>
  </si>
  <si>
    <t>C_x</t>
  </si>
  <si>
    <t>D_x</t>
  </si>
  <si>
    <t>M_x</t>
  </si>
  <si>
    <t>N_x</t>
  </si>
  <si>
    <t>R_x</t>
  </si>
  <si>
    <t>S_x</t>
  </si>
  <si>
    <t>q_x</t>
  </si>
  <si>
    <t>Male</t>
  </si>
  <si>
    <t>Female</t>
  </si>
  <si>
    <t>A1(x,n)</t>
  </si>
  <si>
    <t>E(x,n)</t>
  </si>
  <si>
    <t/>
  </si>
  <si>
    <t>Věk</t>
  </si>
  <si>
    <t>Pohlaví</t>
  </si>
  <si>
    <t>pojistné</t>
  </si>
  <si>
    <t>q(x) 2003 ČSÚ</t>
  </si>
  <si>
    <r>
      <t>smrti</t>
    </r>
    <r>
      <rPr>
        <sz val="10"/>
        <rFont val="Arial"/>
        <family val="0"/>
      </rPr>
      <t xml:space="preserve"> (rizikové pojištění - bez "spoření")</t>
    </r>
  </si>
  <si>
    <r>
      <t>dožití</t>
    </r>
    <r>
      <rPr>
        <sz val="10"/>
        <rFont val="Arial"/>
        <family val="0"/>
      </rPr>
      <t xml:space="preserve"> (tzv. čisté dožití, v případě smrti se nevyplatí nic)</t>
    </r>
  </si>
  <si>
    <r>
      <t>dožití s vrácením</t>
    </r>
    <r>
      <rPr>
        <sz val="10"/>
        <rFont val="Arial"/>
        <family val="0"/>
      </rPr>
      <t xml:space="preserve"> zaplaceného </t>
    </r>
    <r>
      <rPr>
        <b/>
        <sz val="10"/>
        <rFont val="Arial"/>
        <family val="2"/>
      </rPr>
      <t>pojistného</t>
    </r>
    <r>
      <rPr>
        <sz val="10"/>
        <rFont val="Arial"/>
        <family val="0"/>
      </rPr>
      <t xml:space="preserve"> v případě smrti</t>
    </r>
  </si>
  <si>
    <r>
      <t>smrti a dožití</t>
    </r>
    <r>
      <rPr>
        <sz val="10"/>
        <rFont val="Arial"/>
        <family val="0"/>
      </rPr>
      <t xml:space="preserve"> (se stejnou pojistnou částkou)</t>
    </r>
  </si>
  <si>
    <r>
      <t>smrti a dožití</t>
    </r>
    <r>
      <rPr>
        <sz val="10"/>
        <rFont val="Arial"/>
        <family val="0"/>
      </rPr>
      <t xml:space="preserve"> s </t>
    </r>
    <r>
      <rPr>
        <b/>
        <sz val="10"/>
        <rFont val="Arial"/>
        <family val="2"/>
      </rPr>
      <t>trojnásobnou</t>
    </r>
    <r>
      <rPr>
        <sz val="10"/>
        <rFont val="Arial"/>
        <family val="0"/>
      </rPr>
      <t xml:space="preserve"> pojistnou částkou na smrt</t>
    </r>
  </si>
  <si>
    <t>Délka pojištění (v letech)</t>
  </si>
  <si>
    <t>Vstupní věk</t>
  </si>
  <si>
    <t>Rozklad pojistného</t>
  </si>
  <si>
    <t>smrt</t>
  </si>
  <si>
    <t>dožití</t>
  </si>
  <si>
    <t>nákladová přirážka</t>
  </si>
  <si>
    <t>Pojistná částka</t>
  </si>
  <si>
    <t>Pojistná částka (Kč)</t>
  </si>
  <si>
    <t>Technická úroková míra</t>
  </si>
  <si>
    <t>Pomocné výpočty</t>
  </si>
  <si>
    <t>celkem zaplaceno</t>
  </si>
  <si>
    <t>ä(x,n) ročně</t>
  </si>
  <si>
    <t>ä(x,n) měsíčně</t>
  </si>
  <si>
    <t>IA1(x,n) ročně</t>
  </si>
  <si>
    <t>IA1(x,n) měsíčně</t>
  </si>
  <si>
    <t>Vstupní údaje</t>
  </si>
  <si>
    <t>Rok</t>
  </si>
  <si>
    <t>počet smluv</t>
  </si>
  <si>
    <t>platnost</t>
  </si>
  <si>
    <t>pst úmrtí</t>
  </si>
  <si>
    <t>zaplaceno</t>
  </si>
  <si>
    <t>2,3,4,5</t>
  </si>
  <si>
    <t>1;4</t>
  </si>
  <si>
    <t>Jednorázové pojistné</t>
  </si>
  <si>
    <r>
      <t>Běžně placená smlouva</t>
    </r>
    <r>
      <rPr>
        <sz val="10"/>
        <rFont val="Arial"/>
        <family val="0"/>
      </rPr>
      <t xml:space="preserve">
Pojištění pro případ:</t>
    </r>
  </si>
  <si>
    <r>
      <t>Jednorázově placená smlouva</t>
    </r>
    <r>
      <rPr>
        <sz val="10"/>
        <rFont val="Arial"/>
        <family val="0"/>
      </rPr>
      <t xml:space="preserve">
Pojištění pro případ:</t>
    </r>
  </si>
  <si>
    <t>1J</t>
  </si>
  <si>
    <t>2J</t>
  </si>
  <si>
    <t>3J</t>
  </si>
  <si>
    <t>4J</t>
  </si>
  <si>
    <t>5J</t>
  </si>
  <si>
    <t>zemřelí</t>
  </si>
  <si>
    <t>1B</t>
  </si>
  <si>
    <t>2B</t>
  </si>
  <si>
    <t>3B</t>
  </si>
  <si>
    <t>4B</t>
  </si>
  <si>
    <t>5B</t>
  </si>
  <si>
    <t>Běžně/jednorázově placené tradiční životní pojištění</t>
  </si>
  <si>
    <t>Roční běžné pojistné</t>
  </si>
  <si>
    <t>Daňové pásmo DPFO</t>
  </si>
  <si>
    <t>daně</t>
  </si>
  <si>
    <t>-</t>
  </si>
  <si>
    <t>Vnitřní míra výnosnosti</t>
  </si>
  <si>
    <t>bez daňových efektů</t>
  </si>
  <si>
    <t>včetně daní</t>
  </si>
  <si>
    <t>Muž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</si>
</sst>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%"/>
    <numFmt numFmtId="166" formatCode="0.0000%"/>
    <numFmt numFmtId="167" formatCode="0.0"/>
    <numFmt numFmtId="168" formatCode="[=1]\ &quot;1 rok&quot;;[&lt;5]\ #&quot; roky&quot;;#&quot; let&quot;"/>
    <numFmt numFmtId="169" formatCode="0.0000"/>
    <numFmt numFmtId="170" formatCode="0.000"/>
    <numFmt numFmtId="171" formatCode="#,##0.0"/>
    <numFmt numFmtId="172" formatCode="#,##0.000"/>
    <numFmt numFmtId="173" formatCode="0.000000"/>
    <numFmt numFmtId="174" formatCode="0.00000"/>
    <numFmt numFmtId="175" formatCode="0.0000000"/>
    <numFmt numFmtId="176" formatCode="#,##0.00000"/>
    <numFmt numFmtId="177" formatCode="#,##0.0000"/>
    <numFmt numFmtId="178" formatCode="#,##0.000000"/>
    <numFmt numFmtId="179" formatCode="0.000000000000"/>
    <numFmt numFmtId="180" formatCode="0.000000000"/>
    <numFmt numFmtId="181" formatCode="#,###,##0\ &quot;Kč&quot;;\-#,###,##0\ &quot;Kč&quot;"/>
    <numFmt numFmtId="182" formatCode=";;;"/>
    <numFmt numFmtId="183" formatCode="#,##0_ ;\-#,##0\ "/>
    <numFmt numFmtId="184" formatCode="_-* #,##0\ &quot;Kč&quot;_-;\-* #,##0\ &quot;Kč&quot;_-;_-* &quot;-&quot;??\ &quot;Kč&quot;_-;_-@_-"/>
    <numFmt numFmtId="185" formatCode="#,##0;[Red]\-#,##0"/>
    <numFmt numFmtId="186" formatCode="#,##0.00;[Red]\-#,##0.00"/>
    <numFmt numFmtId="187" formatCode="0.00000000"/>
    <numFmt numFmtId="188" formatCode="#,##0.0000000"/>
    <numFmt numFmtId="189" formatCode="#,##0.000000_);\(#,##0.000000\)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00000000"/>
    <numFmt numFmtId="195" formatCode="0.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000000000000000"/>
  </numFmts>
  <fonts count="2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 CE"/>
      <family val="0"/>
    </font>
    <font>
      <sz val="10"/>
      <color indexed="18"/>
      <name val="Courier"/>
      <family val="0"/>
    </font>
    <font>
      <u val="single"/>
      <sz val="10"/>
      <color indexed="12"/>
      <name val="Arial CE"/>
      <family val="0"/>
    </font>
    <font>
      <b/>
      <sz val="12"/>
      <name val="Times New Roman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 CE"/>
      <family val="0"/>
    </font>
    <font>
      <b/>
      <sz val="16"/>
      <name val="Arial"/>
      <family val="2"/>
    </font>
    <font>
      <sz val="10"/>
      <color indexed="22"/>
      <name val="Arial"/>
      <family val="0"/>
    </font>
    <font>
      <sz val="10"/>
      <color indexed="22"/>
      <name val="Arial CE"/>
      <family val="0"/>
    </font>
    <font>
      <sz val="8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1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0" fontId="7" fillId="0" borderId="0">
      <alignment/>
      <protection locked="0"/>
    </xf>
    <xf numFmtId="0" fontId="6" fillId="0" borderId="0">
      <alignment/>
      <protection/>
    </xf>
    <xf numFmtId="9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27">
      <alignment/>
      <protection/>
    </xf>
    <xf numFmtId="0" fontId="11" fillId="0" borderId="0" xfId="0" applyFont="1" applyFill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0" xfId="27" applyFill="1">
      <alignment/>
      <protection/>
    </xf>
    <xf numFmtId="9" fontId="6" fillId="0" borderId="0" xfId="27" applyNumberFormat="1" applyFont="1" applyFill="1" applyAlignment="1">
      <alignment horizontal="center"/>
      <protection/>
    </xf>
    <xf numFmtId="0" fontId="6" fillId="0" borderId="0" xfId="27" applyFont="1" applyFill="1">
      <alignment/>
      <protection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6" fillId="2" borderId="0" xfId="27" applyFill="1" applyAlignment="1">
      <alignment horizontal="center"/>
      <protection/>
    </xf>
    <xf numFmtId="0" fontId="6" fillId="2" borderId="0" xfId="27" applyFont="1" applyFill="1" applyAlignment="1">
      <alignment horizontal="center"/>
      <protection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1" fontId="12" fillId="0" borderId="0" xfId="27" applyNumberFormat="1" applyFont="1">
      <alignment/>
      <protection/>
    </xf>
    <xf numFmtId="164" fontId="2" fillId="0" borderId="0" xfId="0" applyNumberFormat="1" applyFont="1" applyAlignment="1">
      <alignment/>
    </xf>
    <xf numFmtId="173" fontId="6" fillId="0" borderId="0" xfId="27" applyNumberFormat="1">
      <alignment/>
      <protection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27" applyFont="1" applyFill="1">
      <alignment/>
      <protection/>
    </xf>
    <xf numFmtId="0" fontId="12" fillId="0" borderId="0" xfId="27" applyFont="1" applyFill="1">
      <alignment/>
      <protection/>
    </xf>
    <xf numFmtId="173" fontId="1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73" fontId="18" fillId="0" borderId="0" xfId="27" applyNumberFormat="1" applyFont="1" applyFill="1">
      <alignment/>
      <protection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9" fontId="6" fillId="0" borderId="0" xfId="27" applyNumberFormat="1" applyFont="1" applyFill="1" applyAlignment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Continuous"/>
    </xf>
    <xf numFmtId="0" fontId="0" fillId="4" borderId="10" xfId="0" applyFont="1" applyFill="1" applyBorder="1" applyAlignment="1">
      <alignment horizontal="centerContinuous"/>
    </xf>
    <xf numFmtId="0" fontId="0" fillId="4" borderId="8" xfId="0" applyFont="1" applyFill="1" applyBorder="1" applyAlignment="1">
      <alignment horizontal="centerContinuous"/>
    </xf>
    <xf numFmtId="0" fontId="0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5" borderId="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3" borderId="10" xfId="0" applyFill="1" applyBorder="1" applyAlignment="1">
      <alignment horizontal="centerContinuous"/>
    </xf>
    <xf numFmtId="3" fontId="0" fillId="3" borderId="7" xfId="0" applyNumberFormat="1" applyFont="1" applyFill="1" applyBorder="1" applyAlignment="1">
      <alignment horizontal="center" wrapText="1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3" xfId="0" applyFont="1" applyFill="1" applyBorder="1" applyAlignment="1" applyProtection="1">
      <alignment horizontal="left"/>
      <protection/>
    </xf>
    <xf numFmtId="0" fontId="0" fillId="3" borderId="7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174" fontId="14" fillId="5" borderId="2" xfId="0" applyNumberFormat="1" applyFont="1" applyFill="1" applyBorder="1" applyAlignment="1" applyProtection="1">
      <alignment/>
      <protection/>
    </xf>
    <xf numFmtId="174" fontId="14" fillId="5" borderId="4" xfId="0" applyNumberFormat="1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 horizontal="left"/>
      <protection/>
    </xf>
    <xf numFmtId="0" fontId="0" fillId="3" borderId="10" xfId="0" applyFont="1" applyFill="1" applyBorder="1" applyAlignment="1" applyProtection="1">
      <alignment horizontal="left"/>
      <protection/>
    </xf>
    <xf numFmtId="1" fontId="5" fillId="3" borderId="8" xfId="0" applyNumberFormat="1" applyFont="1" applyFill="1" applyBorder="1" applyAlignment="1" applyProtection="1">
      <alignment/>
      <protection/>
    </xf>
    <xf numFmtId="173" fontId="15" fillId="0" borderId="0" xfId="27" applyNumberFormat="1" applyFont="1">
      <alignment/>
      <protection/>
    </xf>
    <xf numFmtId="169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0" borderId="6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9" fontId="15" fillId="0" borderId="0" xfId="27" applyNumberFormat="1" applyFont="1">
      <alignment/>
      <protection/>
    </xf>
    <xf numFmtId="0" fontId="20" fillId="5" borderId="13" xfId="0" applyFont="1" applyFill="1" applyBorder="1" applyAlignment="1" applyProtection="1">
      <alignment horizontal="left"/>
      <protection/>
    </xf>
    <xf numFmtId="0" fontId="20" fillId="5" borderId="0" xfId="0" applyFont="1" applyFill="1" applyBorder="1" applyAlignment="1" applyProtection="1">
      <alignment horizontal="left"/>
      <protection/>
    </xf>
    <xf numFmtId="174" fontId="21" fillId="5" borderId="4" xfId="0" applyNumberFormat="1" applyFont="1" applyFill="1" applyBorder="1" applyAlignment="1" applyProtection="1">
      <alignment/>
      <protection/>
    </xf>
    <xf numFmtId="0" fontId="20" fillId="5" borderId="14" xfId="0" applyFont="1" applyFill="1" applyBorder="1" applyAlignment="1" applyProtection="1">
      <alignment horizontal="left"/>
      <protection/>
    </xf>
    <xf numFmtId="0" fontId="20" fillId="5" borderId="1" xfId="0" applyFont="1" applyFill="1" applyBorder="1" applyAlignment="1" applyProtection="1">
      <alignment horizontal="left"/>
      <protection/>
    </xf>
    <xf numFmtId="174" fontId="21" fillId="5" borderId="6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0" fillId="3" borderId="9" xfId="0" applyFont="1" applyFill="1" applyBorder="1" applyAlignment="1">
      <alignment horizontal="centerContinuous"/>
    </xf>
    <xf numFmtId="164" fontId="0" fillId="0" borderId="2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3" fontId="5" fillId="5" borderId="2" xfId="0" applyNumberFormat="1" applyFont="1" applyFill="1" applyBorder="1" applyAlignment="1" applyProtection="1">
      <alignment/>
      <protection locked="0"/>
    </xf>
    <xf numFmtId="3" fontId="5" fillId="5" borderId="4" xfId="0" applyNumberFormat="1" applyFont="1" applyFill="1" applyBorder="1" applyAlignment="1" applyProtection="1">
      <alignment/>
      <protection locked="0"/>
    </xf>
    <xf numFmtId="164" fontId="5" fillId="5" borderId="4" xfId="28" applyNumberFormat="1" applyFont="1" applyFill="1" applyBorder="1" applyAlignment="1" applyProtection="1">
      <alignment/>
      <protection locked="0"/>
    </xf>
    <xf numFmtId="9" fontId="5" fillId="5" borderId="6" xfId="28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16" fillId="5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</cellXfs>
  <cellStyles count="17">
    <cellStyle name="Normal" xfId="0"/>
    <cellStyle name="1 000 kè" xfId="15"/>
    <cellStyle name="Comma" xfId="16"/>
    <cellStyle name="Comma [0]" xfId="17"/>
    <cellStyle name="Currency" xfId="18"/>
    <cellStyle name="Currency [0]" xfId="19"/>
    <cellStyle name="Èárky" xfId="20"/>
    <cellStyle name="Èárky [0]" xfId="21"/>
    <cellStyle name="Followed Hyperlink" xfId="22"/>
    <cellStyle name="General" xfId="23"/>
    <cellStyle name="Hyperlink" xfId="24"/>
    <cellStyle name="měny [0]" xfId="25"/>
    <cellStyle name="Mìny" xfId="26"/>
    <cellStyle name="normální_profit_k5(sing)_sleva" xfId="27"/>
    <cellStyle name="Percent" xfId="28"/>
    <cellStyle name="skrytý" xfId="29"/>
    <cellStyle name="vě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590800" y="346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3467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352425</xdr:colOff>
      <xdr:row>6</xdr:row>
      <xdr:rowOff>85725</xdr:rowOff>
    </xdr:from>
    <xdr:to>
      <xdr:col>9</xdr:col>
      <xdr:colOff>400050</xdr:colOff>
      <xdr:row>8</xdr:row>
      <xdr:rowOff>104775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123950"/>
          <a:ext cx="1266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76200</xdr:rowOff>
    </xdr:from>
    <xdr:to>
      <xdr:col>10</xdr:col>
      <xdr:colOff>590550</xdr:colOff>
      <xdr:row>5</xdr:row>
      <xdr:rowOff>142875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304800"/>
          <a:ext cx="2819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Fpensio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FA f"/>
      <sheetName val="Alfa m"/>
      <sheetName val="Roky"/>
      <sheetName val="Srovnání"/>
      <sheetName val="GarM"/>
      <sheetName val="GarF"/>
      <sheetName val="PozM"/>
      <sheetName val="PozF"/>
      <sheetName val="Comm"/>
      <sheetName val="MTSO_M"/>
      <sheetName val="MTSO_F"/>
      <sheetName val="Ass"/>
      <sheetName val="MTAZ_M"/>
      <sheetName val="MTAZ_F"/>
    </sheetNames>
    <sheetDataSet>
      <sheetData sheetId="2">
        <row r="2">
          <cell r="D2">
            <v>2100</v>
          </cell>
        </row>
        <row r="3">
          <cell r="D3">
            <v>0</v>
          </cell>
        </row>
        <row r="4">
          <cell r="D4">
            <v>200</v>
          </cell>
        </row>
        <row r="5">
          <cell r="D5">
            <v>90.47714743612025</v>
          </cell>
        </row>
      </sheetData>
      <sheetData sheetId="8">
        <row r="3">
          <cell r="C3">
            <v>2003</v>
          </cell>
          <cell r="F3">
            <v>0</v>
          </cell>
          <cell r="I3">
            <v>10</v>
          </cell>
        </row>
        <row r="4">
          <cell r="C4">
            <v>0.02</v>
          </cell>
          <cell r="F4">
            <v>23850.492241507236</v>
          </cell>
          <cell r="I4">
            <v>30560.394809146528</v>
          </cell>
        </row>
        <row r="5">
          <cell r="C5">
            <v>0.9803921568627451</v>
          </cell>
        </row>
        <row r="6">
          <cell r="C6" t="str">
            <v>AZ</v>
          </cell>
        </row>
        <row r="7">
          <cell r="C7">
            <v>81.96372164528967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GridLines="0" tabSelected="1" workbookViewId="0" topLeftCell="A1">
      <selection activeCell="L11" sqref="L11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8" width="8.421875" style="0" customWidth="1"/>
    <col min="9" max="11" width="9.8515625" style="0" customWidth="1"/>
    <col min="14" max="14" width="9.57421875" style="0" customWidth="1"/>
    <col min="15" max="15" width="12.7109375" style="0" customWidth="1"/>
    <col min="16" max="16" width="13.28125" style="0" customWidth="1"/>
    <col min="17" max="17" width="10.57421875" style="0" customWidth="1"/>
  </cols>
  <sheetData>
    <row r="1" spans="1:18" ht="18">
      <c r="A1" s="5" t="s">
        <v>64</v>
      </c>
      <c r="B1" s="5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2:18" ht="12.75">
      <c r="L2" s="2"/>
      <c r="M2" s="2"/>
      <c r="N2" s="2"/>
      <c r="O2" s="2"/>
      <c r="P2" s="2"/>
      <c r="Q2" s="2"/>
      <c r="R2" s="2"/>
    </row>
    <row r="3" spans="3:18" ht="12.75">
      <c r="C3" s="73" t="s">
        <v>42</v>
      </c>
      <c r="D3" s="74"/>
      <c r="E3" s="74"/>
      <c r="F3" s="75"/>
      <c r="L3" s="78" t="s">
        <v>36</v>
      </c>
      <c r="M3" s="79"/>
      <c r="N3" s="79"/>
      <c r="O3" s="80"/>
      <c r="P3" s="2"/>
      <c r="Q3" s="2"/>
      <c r="R3" s="2"/>
    </row>
    <row r="4" spans="3:18" ht="12.75">
      <c r="C4" s="65" t="s">
        <v>65</v>
      </c>
      <c r="D4" s="62"/>
      <c r="E4" s="62"/>
      <c r="F4" s="108">
        <v>12000</v>
      </c>
      <c r="L4" s="72" t="s">
        <v>15</v>
      </c>
      <c r="M4" s="71"/>
      <c r="N4" s="71"/>
      <c r="O4" s="76">
        <f>(VLOOKUP(Age,CommNum,8,FALSE)-VLOOKUP(Dur+Age,CommNum,8,FALSE))/VLOOKUP(Age,CommNum,7,FALSE)</f>
        <v>0.10037661766533704</v>
      </c>
      <c r="P4" s="2"/>
      <c r="Q4" s="2"/>
      <c r="R4" s="2"/>
    </row>
    <row r="5" spans="3:18" ht="12.75">
      <c r="C5" s="66" t="s">
        <v>50</v>
      </c>
      <c r="D5" s="67"/>
      <c r="E5" s="67"/>
      <c r="F5" s="109">
        <v>250000</v>
      </c>
      <c r="L5" s="72" t="s">
        <v>16</v>
      </c>
      <c r="M5" s="71"/>
      <c r="N5" s="71"/>
      <c r="O5" s="77">
        <f>VLOOKUP(Dur+Age,CommNum,7,FALSE)/VLOOKUP(Age,CommNum,7,FALSE)</f>
        <v>0.4694450420437023</v>
      </c>
      <c r="P5" s="2"/>
      <c r="Q5" s="2"/>
      <c r="R5" s="2"/>
    </row>
    <row r="6" spans="3:18" ht="12.75">
      <c r="C6" s="66" t="s">
        <v>19</v>
      </c>
      <c r="D6" s="67"/>
      <c r="E6" s="67"/>
      <c r="F6" s="109" t="s">
        <v>72</v>
      </c>
      <c r="L6" s="72" t="s">
        <v>38</v>
      </c>
      <c r="M6" s="71"/>
      <c r="N6" s="71"/>
      <c r="O6" s="77">
        <f>(VLOOKUP(Age,CommNum,9,FALSE)-VLOOKUP(Dur+Age,CommNum,9,FALSE))/VLOOKUP(Age,CommNum,7,FALSE)</f>
        <v>18.354275852414325</v>
      </c>
      <c r="P6" s="2"/>
      <c r="Q6" s="2"/>
      <c r="R6" s="2"/>
    </row>
    <row r="7" spans="3:18" ht="12.75">
      <c r="C7" s="66" t="s">
        <v>28</v>
      </c>
      <c r="D7" s="67"/>
      <c r="E7" s="67"/>
      <c r="F7" s="109">
        <v>35</v>
      </c>
      <c r="L7" s="96" t="s">
        <v>39</v>
      </c>
      <c r="M7" s="97"/>
      <c r="N7" s="97"/>
      <c r="O7" s="98">
        <f>O6-11/24*(1-O5)</f>
        <v>18.111104830017688</v>
      </c>
      <c r="P7" s="2"/>
      <c r="Q7" s="2"/>
      <c r="R7" s="2"/>
    </row>
    <row r="8" spans="2:18" ht="12.75">
      <c r="B8">
        <f>IF(Dur&gt;=5,IF(F9&gt;=40000,1,0),1)</f>
        <v>1</v>
      </c>
      <c r="C8" s="66" t="s">
        <v>27</v>
      </c>
      <c r="D8" s="67"/>
      <c r="E8" s="67"/>
      <c r="F8" s="109">
        <v>25</v>
      </c>
      <c r="L8" s="72" t="s">
        <v>40</v>
      </c>
      <c r="M8" s="71"/>
      <c r="N8" s="71"/>
      <c r="O8" s="77">
        <f>(VLOOKUP(Age,CommNum,10,FALSE)-VLOOKUP(Dur+Age,CommNum,10,FALSE)-Dur*VLOOKUP(Dur+Age,CommNum,8,FALSE))/VLOOKUP(Age,CommNum,7,FALSE)</f>
        <v>1.6690438317630676</v>
      </c>
      <c r="P8" s="2"/>
      <c r="Q8" s="2"/>
      <c r="R8" s="2"/>
    </row>
    <row r="9" spans="2:18" ht="12.75">
      <c r="B9">
        <f>IF(Dur&gt;15,IF(F9&gt;=70000,1,0),1)</f>
        <v>1</v>
      </c>
      <c r="C9" s="66" t="s">
        <v>33</v>
      </c>
      <c r="D9" s="67"/>
      <c r="E9" s="67"/>
      <c r="F9" s="109">
        <v>323102</v>
      </c>
      <c r="L9" s="99" t="s">
        <v>41</v>
      </c>
      <c r="M9" s="100"/>
      <c r="N9" s="100"/>
      <c r="O9" s="101">
        <f>O8-11/24*(1-O5)</f>
        <v>1.4258728093664312</v>
      </c>
      <c r="P9" s="2"/>
      <c r="Q9" s="2"/>
      <c r="R9" s="2"/>
    </row>
    <row r="10" spans="2:18" ht="12.75">
      <c r="B10">
        <f>IF(AND(Age+Dur&gt;59,Dur&gt;=5),1,0)</f>
        <v>1</v>
      </c>
      <c r="C10" s="66" t="s">
        <v>35</v>
      </c>
      <c r="D10" s="67"/>
      <c r="E10" s="67"/>
      <c r="F10" s="110">
        <v>0.024</v>
      </c>
      <c r="L10" s="2"/>
      <c r="M10" s="2"/>
      <c r="N10" s="2"/>
      <c r="O10" s="2"/>
      <c r="P10" s="2"/>
      <c r="Q10" s="2"/>
      <c r="R10" s="2"/>
    </row>
    <row r="11" spans="2:18" ht="12.75">
      <c r="B11">
        <f>B8*B9*B10</f>
        <v>1</v>
      </c>
      <c r="C11" s="68" t="s">
        <v>66</v>
      </c>
      <c r="D11" s="64"/>
      <c r="E11" s="64"/>
      <c r="F11" s="111">
        <v>0.25</v>
      </c>
      <c r="G11" s="112" t="str">
        <f>IF(B11=1," Smlouva splňuje podmínky daňového odpočtu"," Smlouva nesplňuje podmínky daňového odpočtu")</f>
        <v> Smlouva splňuje podmínky daňového odpočtu</v>
      </c>
      <c r="L11" s="2"/>
      <c r="M11" s="2"/>
      <c r="N11" s="2"/>
      <c r="O11" s="2"/>
      <c r="P11" s="2"/>
      <c r="Q11" s="2"/>
      <c r="R11" s="2"/>
    </row>
    <row r="12" spans="6:18" ht="12.75">
      <c r="F12" s="39"/>
      <c r="L12" s="2"/>
      <c r="M12" s="2"/>
      <c r="N12" s="2"/>
      <c r="O12" s="2"/>
      <c r="P12" s="2"/>
      <c r="Q12" s="2"/>
      <c r="R12" s="2"/>
    </row>
    <row r="13" spans="2:18" ht="12.75">
      <c r="B13" s="61"/>
      <c r="C13" s="113" t="s">
        <v>51</v>
      </c>
      <c r="D13" s="114"/>
      <c r="E13" s="114"/>
      <c r="F13" s="114"/>
      <c r="G13" s="114"/>
      <c r="H13" s="115"/>
      <c r="I13" s="50" t="s">
        <v>34</v>
      </c>
      <c r="J13" s="51"/>
      <c r="K13" s="69"/>
      <c r="L13" s="54" t="s">
        <v>29</v>
      </c>
      <c r="M13" s="55"/>
      <c r="N13" s="56"/>
      <c r="O13" s="103" t="s">
        <v>69</v>
      </c>
      <c r="P13" s="103"/>
      <c r="Q13" s="2"/>
      <c r="R13" s="2"/>
    </row>
    <row r="14" spans="2:18" ht="25.5">
      <c r="B14" s="63"/>
      <c r="C14" s="116"/>
      <c r="D14" s="117"/>
      <c r="E14" s="117"/>
      <c r="F14" s="117"/>
      <c r="G14" s="117"/>
      <c r="H14" s="118"/>
      <c r="I14" s="52" t="s">
        <v>30</v>
      </c>
      <c r="J14" s="53" t="s">
        <v>31</v>
      </c>
      <c r="K14" s="70" t="s">
        <v>37</v>
      </c>
      <c r="L14" s="57" t="s">
        <v>30</v>
      </c>
      <c r="M14" s="58" t="s">
        <v>31</v>
      </c>
      <c r="N14" s="59" t="s">
        <v>32</v>
      </c>
      <c r="O14" s="60" t="s">
        <v>70</v>
      </c>
      <c r="P14" s="60" t="s">
        <v>71</v>
      </c>
      <c r="Q14" s="2"/>
      <c r="R14" s="2"/>
    </row>
    <row r="15" spans="2:18" ht="12.75">
      <c r="B15" s="46" t="s">
        <v>59</v>
      </c>
      <c r="C15" s="40" t="s">
        <v>22</v>
      </c>
      <c r="D15" s="40"/>
      <c r="E15" s="41"/>
      <c r="F15" s="41"/>
      <c r="G15" s="41"/>
      <c r="H15" s="41"/>
      <c r="I15" s="44">
        <f>F9</f>
        <v>323102</v>
      </c>
      <c r="J15" s="90">
        <v>0</v>
      </c>
      <c r="K15" s="44">
        <f>Bezne!$H$3</f>
        <v>286617.4359845243</v>
      </c>
      <c r="L15" s="44">
        <f>I15*$O$4/$O$6</f>
        <v>1766.9934886937874</v>
      </c>
      <c r="M15" s="44">
        <f>J15*$O$5/$O$6</f>
        <v>0</v>
      </c>
      <c r="N15" s="44">
        <f>$F$4-L15-M15</f>
        <v>10233.006511306212</v>
      </c>
      <c r="O15" s="104" t="e">
        <f>Bezne!N2</f>
        <v>#DIV/0!</v>
      </c>
      <c r="P15" s="105" t="s">
        <v>68</v>
      </c>
      <c r="Q15" s="2"/>
      <c r="R15" s="2"/>
    </row>
    <row r="16" spans="2:18" ht="12.75">
      <c r="B16" s="46" t="s">
        <v>60</v>
      </c>
      <c r="C16" s="40" t="s">
        <v>23</v>
      </c>
      <c r="D16" s="40"/>
      <c r="E16" s="41"/>
      <c r="F16" s="41"/>
      <c r="G16" s="41"/>
      <c r="H16" s="41"/>
      <c r="I16" s="91">
        <v>0</v>
      </c>
      <c r="J16" s="45">
        <f>F9</f>
        <v>323102</v>
      </c>
      <c r="K16" s="45">
        <f>Bezne!$H$3</f>
        <v>286617.4359845243</v>
      </c>
      <c r="L16" s="45">
        <f>I16*$O$4/$O$6</f>
        <v>0</v>
      </c>
      <c r="M16" s="45">
        <f>J16*$O$5/$O$6</f>
        <v>8263.939868510392</v>
      </c>
      <c r="N16" s="45">
        <f>$F$4-L16-M16</f>
        <v>3736.0601314896085</v>
      </c>
      <c r="O16" s="106">
        <f>Bezne!O2</f>
        <v>-0.0032866979040204604</v>
      </c>
      <c r="P16" s="106">
        <f>Bezne!U2</f>
        <v>0.016759892606292834</v>
      </c>
      <c r="Q16" s="2"/>
      <c r="R16" s="2"/>
    </row>
    <row r="17" spans="2:18" ht="12.75">
      <c r="B17" s="46" t="s">
        <v>61</v>
      </c>
      <c r="C17" s="40" t="s">
        <v>24</v>
      </c>
      <c r="D17" s="40"/>
      <c r="E17" s="41"/>
      <c r="F17" s="41"/>
      <c r="G17" s="41"/>
      <c r="H17" s="41"/>
      <c r="I17" s="92" t="s">
        <v>20</v>
      </c>
      <c r="J17" s="45">
        <f>F9</f>
        <v>323102</v>
      </c>
      <c r="K17" s="45">
        <f>Bezne!$H$3</f>
        <v>286617.4359845243</v>
      </c>
      <c r="L17" s="45">
        <f>$F$4*O8/O6</f>
        <v>1091.2185336106438</v>
      </c>
      <c r="M17" s="45">
        <f>J17*$O$5/$O$6</f>
        <v>8263.939868510392</v>
      </c>
      <c r="N17" s="45">
        <f>$F$4-L17-M17</f>
        <v>2644.8415978789653</v>
      </c>
      <c r="O17" s="106">
        <f>Bezne!P2</f>
        <v>0.005159509628656346</v>
      </c>
      <c r="P17" s="106">
        <f>Bezne!V2</f>
        <v>0.025547734288369817</v>
      </c>
      <c r="Q17" s="2"/>
      <c r="R17" s="2"/>
    </row>
    <row r="18" spans="2:18" ht="12.75">
      <c r="B18" s="46" t="s">
        <v>62</v>
      </c>
      <c r="C18" s="40" t="s">
        <v>25</v>
      </c>
      <c r="D18" s="40"/>
      <c r="E18" s="41"/>
      <c r="F18" s="41"/>
      <c r="G18" s="41"/>
      <c r="H18" s="41"/>
      <c r="I18" s="47">
        <f>F9</f>
        <v>323102</v>
      </c>
      <c r="J18" s="45">
        <f>F9</f>
        <v>323102</v>
      </c>
      <c r="K18" s="45">
        <f>Bezne!$H$3</f>
        <v>286617.4359845243</v>
      </c>
      <c r="L18" s="45">
        <f>I18*$O$4/$O$6</f>
        <v>1766.9934886937874</v>
      </c>
      <c r="M18" s="45">
        <f>J18*$O$5/$O$6</f>
        <v>8263.939868510392</v>
      </c>
      <c r="N18" s="45">
        <f>$F$4-L18-M18</f>
        <v>1969.0666427958204</v>
      </c>
      <c r="O18" s="106">
        <f>Bezne!Q2</f>
        <v>0.00974329080106335</v>
      </c>
      <c r="P18" s="106">
        <f>Bezne!W2</f>
        <v>0.031019683762279794</v>
      </c>
      <c r="Q18" s="2"/>
      <c r="R18" s="2"/>
    </row>
    <row r="19" spans="2:18" ht="12.75">
      <c r="B19" s="88" t="s">
        <v>63</v>
      </c>
      <c r="C19" s="42" t="s">
        <v>26</v>
      </c>
      <c r="D19" s="42"/>
      <c r="E19" s="43"/>
      <c r="F19" s="43"/>
      <c r="G19" s="43"/>
      <c r="H19" s="43"/>
      <c r="I19" s="49">
        <f>3*J19</f>
        <v>969306</v>
      </c>
      <c r="J19" s="48">
        <f>F9</f>
        <v>323102</v>
      </c>
      <c r="K19" s="48">
        <f>Bezne!$H$3</f>
        <v>286617.4359845243</v>
      </c>
      <c r="L19" s="48">
        <f>I19*$O$4/$O$6</f>
        <v>5300.9804660813625</v>
      </c>
      <c r="M19" s="48">
        <f>J19*$O$5/$O$6</f>
        <v>8263.939868510392</v>
      </c>
      <c r="N19" s="48">
        <f>$F$4-L19-M19</f>
        <v>-1564.920334591754</v>
      </c>
      <c r="O19" s="107">
        <f>Bezne!R2</f>
        <v>0.03516462069922291</v>
      </c>
      <c r="P19" s="107">
        <f>Bezne!X2</f>
        <v>0.0592417734559311</v>
      </c>
      <c r="Q19" s="2"/>
      <c r="R19" s="2"/>
    </row>
    <row r="20" spans="12:18" ht="12.75">
      <c r="L20" s="2"/>
      <c r="M20" s="2"/>
      <c r="N20" s="2"/>
      <c r="O20" s="2"/>
      <c r="P20" s="2"/>
      <c r="Q20" s="2"/>
      <c r="R20" s="2"/>
    </row>
    <row r="21" spans="2:18" ht="12.75">
      <c r="B21" s="61"/>
      <c r="C21" s="113" t="s">
        <v>52</v>
      </c>
      <c r="D21" s="114"/>
      <c r="E21" s="114"/>
      <c r="F21" s="114"/>
      <c r="G21" s="114"/>
      <c r="H21" s="115"/>
      <c r="I21" s="50" t="s">
        <v>34</v>
      </c>
      <c r="J21" s="51"/>
      <c r="K21" s="69"/>
      <c r="L21" s="54" t="s">
        <v>29</v>
      </c>
      <c r="M21" s="55"/>
      <c r="N21" s="56"/>
      <c r="O21" s="103" t="s">
        <v>69</v>
      </c>
      <c r="P21" s="103"/>
      <c r="Q21" s="2"/>
      <c r="R21" s="2"/>
    </row>
    <row r="22" spans="2:18" ht="25.5">
      <c r="B22" s="63"/>
      <c r="C22" s="116"/>
      <c r="D22" s="117"/>
      <c r="E22" s="117"/>
      <c r="F22" s="117"/>
      <c r="G22" s="117"/>
      <c r="H22" s="118"/>
      <c r="I22" s="52" t="s">
        <v>30</v>
      </c>
      <c r="J22" s="53" t="s">
        <v>31</v>
      </c>
      <c r="K22" s="70" t="s">
        <v>37</v>
      </c>
      <c r="L22" s="57" t="s">
        <v>30</v>
      </c>
      <c r="M22" s="58" t="s">
        <v>31</v>
      </c>
      <c r="N22" s="59" t="s">
        <v>32</v>
      </c>
      <c r="O22" s="60" t="s">
        <v>70</v>
      </c>
      <c r="P22" s="60" t="s">
        <v>71</v>
      </c>
      <c r="Q22" s="2"/>
      <c r="R22" s="2"/>
    </row>
    <row r="23" spans="2:18" ht="12.75">
      <c r="B23" s="46" t="s">
        <v>53</v>
      </c>
      <c r="C23" s="40" t="s">
        <v>22</v>
      </c>
      <c r="D23" s="40"/>
      <c r="E23" s="41"/>
      <c r="F23" s="41"/>
      <c r="G23" s="41"/>
      <c r="H23" s="41"/>
      <c r="I23" s="44">
        <f>F9</f>
        <v>323102</v>
      </c>
      <c r="J23" s="90">
        <v>0</v>
      </c>
      <c r="K23" s="44">
        <f>$F$5</f>
        <v>250000</v>
      </c>
      <c r="L23" s="44">
        <f>I23*$O$4</f>
        <v>32431.885920905726</v>
      </c>
      <c r="M23" s="44">
        <f>J23*$O$5</f>
        <v>0</v>
      </c>
      <c r="N23" s="44">
        <f>$F$5-L23-M23</f>
        <v>217568.11407909426</v>
      </c>
      <c r="O23" s="104">
        <f>Jednorazove!N2</f>
        <v>-0.08244952682188575</v>
      </c>
      <c r="P23" s="105" t="s">
        <v>68</v>
      </c>
      <c r="Q23" s="2"/>
      <c r="R23" s="2"/>
    </row>
    <row r="24" spans="2:18" ht="12.75">
      <c r="B24" s="46" t="s">
        <v>54</v>
      </c>
      <c r="C24" s="40" t="s">
        <v>23</v>
      </c>
      <c r="D24" s="40"/>
      <c r="E24" s="41"/>
      <c r="F24" s="41"/>
      <c r="G24" s="41"/>
      <c r="H24" s="41"/>
      <c r="I24" s="91">
        <v>0</v>
      </c>
      <c r="J24" s="45">
        <f>F9</f>
        <v>323102</v>
      </c>
      <c r="K24" s="45">
        <f>$F$5</f>
        <v>250000</v>
      </c>
      <c r="L24" s="45">
        <f>I24*$O$4</f>
        <v>0</v>
      </c>
      <c r="M24" s="45">
        <f>J24*$O$5</f>
        <v>151678.6319744043</v>
      </c>
      <c r="N24" s="45">
        <f>$F$5-L24-M24</f>
        <v>98321.3680255957</v>
      </c>
      <c r="O24" s="106">
        <f>Jednorazove!O2</f>
        <v>0.003735610741015874</v>
      </c>
      <c r="P24" s="106">
        <f>Jednorazove!U2</f>
        <v>0.011681527919545076</v>
      </c>
      <c r="Q24" s="2"/>
      <c r="R24" s="2"/>
    </row>
    <row r="25" spans="2:18" ht="12.75">
      <c r="B25" s="46" t="s">
        <v>55</v>
      </c>
      <c r="C25" s="40" t="s">
        <v>24</v>
      </c>
      <c r="D25" s="40"/>
      <c r="E25" s="41"/>
      <c r="F25" s="41"/>
      <c r="G25" s="41"/>
      <c r="H25" s="41"/>
      <c r="I25" s="89">
        <f>F5</f>
        <v>250000</v>
      </c>
      <c r="J25" s="45">
        <f>F9</f>
        <v>323102</v>
      </c>
      <c r="K25" s="45">
        <f>$F$5</f>
        <v>250000</v>
      </c>
      <c r="L25" s="45">
        <f>I25*$O$4</f>
        <v>25094.15441633426</v>
      </c>
      <c r="M25" s="45">
        <f>J25*$O$5</f>
        <v>151678.6319744043</v>
      </c>
      <c r="N25" s="45">
        <f>$F$5-L25-M25</f>
        <v>73227.21360926144</v>
      </c>
      <c r="O25" s="106">
        <f>Jednorazove!P2</f>
        <v>0.009263825597299982</v>
      </c>
      <c r="P25" s="106">
        <f>Jednorazove!V2</f>
        <v>0.017121356697162016</v>
      </c>
      <c r="Q25" s="2"/>
      <c r="R25" s="2"/>
    </row>
    <row r="26" spans="2:18" ht="12.75">
      <c r="B26" s="46" t="s">
        <v>56</v>
      </c>
      <c r="C26" s="40" t="s">
        <v>25</v>
      </c>
      <c r="D26" s="40"/>
      <c r="E26" s="41"/>
      <c r="F26" s="41"/>
      <c r="G26" s="41"/>
      <c r="H26" s="41"/>
      <c r="I26" s="47">
        <f>F9</f>
        <v>323102</v>
      </c>
      <c r="J26" s="45">
        <f>F9</f>
        <v>323102</v>
      </c>
      <c r="K26" s="45">
        <f>$F$5</f>
        <v>250000</v>
      </c>
      <c r="L26" s="45">
        <f>I26*$O$4</f>
        <v>32431.885920905726</v>
      </c>
      <c r="M26" s="45">
        <f>J26*$O$5</f>
        <v>151678.6319744043</v>
      </c>
      <c r="N26" s="45">
        <f>$F$5-L26-M26</f>
        <v>65889.48210468996</v>
      </c>
      <c r="O26" s="106">
        <f>Jednorazove!Q2</f>
        <v>0.010830322508191888</v>
      </c>
      <c r="P26" s="106">
        <f>Jednorazove!W2</f>
        <v>0.01866230300949836</v>
      </c>
      <c r="Q26" s="2"/>
      <c r="R26" s="2"/>
    </row>
    <row r="27" spans="2:18" ht="12.75">
      <c r="B27" s="88" t="s">
        <v>57</v>
      </c>
      <c r="C27" s="42" t="s">
        <v>26</v>
      </c>
      <c r="D27" s="42"/>
      <c r="E27" s="43"/>
      <c r="F27" s="43"/>
      <c r="G27" s="43"/>
      <c r="H27" s="43"/>
      <c r="I27" s="49">
        <f>3*F9</f>
        <v>969306</v>
      </c>
      <c r="J27" s="48">
        <f>F9</f>
        <v>323102</v>
      </c>
      <c r="K27" s="48">
        <f>$F$5</f>
        <v>250000</v>
      </c>
      <c r="L27" s="48">
        <f>I27*$O$4</f>
        <v>97295.65776271718</v>
      </c>
      <c r="M27" s="48">
        <f>J27*$O$5</f>
        <v>151678.6319744043</v>
      </c>
      <c r="N27" s="48">
        <f>$F$5-L27-M27</f>
        <v>1025.710262878536</v>
      </c>
      <c r="O27" s="107">
        <f>Jednorazove!R2</f>
        <v>0.023806292012485884</v>
      </c>
      <c r="P27" s="107">
        <f>Jednorazove!X2</f>
        <v>0.03142233267852371</v>
      </c>
      <c r="Q27" s="2"/>
      <c r="R27" s="2"/>
    </row>
    <row r="28" spans="1:18" ht="12.75">
      <c r="A28" s="4"/>
      <c r="B28" s="4"/>
      <c r="C28" s="2"/>
      <c r="D28" s="2"/>
      <c r="E28" s="2"/>
      <c r="F28" s="2"/>
      <c r="G28" s="35" t="s">
        <v>17</v>
      </c>
      <c r="H28" s="35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4"/>
      <c r="C29" s="2"/>
      <c r="D29" s="2"/>
      <c r="E29" s="2"/>
      <c r="F29" s="2"/>
      <c r="G29" s="35" t="s">
        <v>17</v>
      </c>
      <c r="H29" s="35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4"/>
      <c r="B38" s="2"/>
      <c r="C38" s="2"/>
      <c r="D38" s="2"/>
      <c r="E38" s="2"/>
      <c r="F38" s="2"/>
      <c r="G38" s="35" t="s">
        <v>17</v>
      </c>
      <c r="H38" s="35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4"/>
      <c r="B39" s="2"/>
      <c r="C39" s="2"/>
      <c r="D39" s="2"/>
      <c r="E39" s="2"/>
      <c r="F39" s="2"/>
      <c r="G39" s="35" t="s">
        <v>17</v>
      </c>
      <c r="H39" s="35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4"/>
      <c r="B40" s="2"/>
      <c r="C40" s="2"/>
      <c r="D40" s="2"/>
      <c r="E40" s="2"/>
      <c r="F40" s="2"/>
      <c r="G40" s="35" t="s">
        <v>17</v>
      </c>
      <c r="H40" s="35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/>
      <c r="B41" s="2"/>
      <c r="C41" s="2"/>
      <c r="D41" s="2"/>
      <c r="E41" s="2"/>
      <c r="F41" s="2"/>
      <c r="G41" s="35" t="s">
        <v>17</v>
      </c>
      <c r="H41" s="35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35" t="s">
        <v>17</v>
      </c>
      <c r="H42" s="35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35" t="s">
        <v>17</v>
      </c>
      <c r="H43" s="35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35" t="s">
        <v>17</v>
      </c>
      <c r="H44" s="35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35" t="s">
        <v>17</v>
      </c>
      <c r="H45" s="35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35" t="s">
        <v>17</v>
      </c>
      <c r="H46" s="35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35" t="s">
        <v>17</v>
      </c>
      <c r="H47" s="35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35" t="s">
        <v>17</v>
      </c>
      <c r="H48" s="35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F49" s="2"/>
      <c r="G49" s="2"/>
      <c r="H49" s="2"/>
      <c r="K49" s="2"/>
      <c r="L49" s="2"/>
      <c r="M49" s="2"/>
      <c r="N49" s="2"/>
      <c r="O49" s="2"/>
      <c r="P49" s="2"/>
      <c r="Q49" s="2"/>
      <c r="R49" s="2"/>
    </row>
    <row r="50" spans="1:8" ht="12.75">
      <c r="A50" s="2"/>
      <c r="B50" s="2"/>
      <c r="G50" s="2"/>
      <c r="H50" s="2"/>
    </row>
    <row r="51" spans="1:8" ht="12.75">
      <c r="A51" s="2"/>
      <c r="B51" s="2"/>
      <c r="G51" s="2"/>
      <c r="H51" s="2"/>
    </row>
    <row r="52" spans="1:8" ht="12.75">
      <c r="A52" s="2"/>
      <c r="B52" s="2"/>
      <c r="G52" s="2"/>
      <c r="H52" s="2"/>
    </row>
    <row r="53" spans="1:8" ht="12.75">
      <c r="A53" s="2"/>
      <c r="B53" s="2"/>
      <c r="G53" s="2"/>
      <c r="H53" s="2"/>
    </row>
    <row r="54" spans="1:8" ht="12.75">
      <c r="A54" s="2"/>
      <c r="B54" s="2"/>
      <c r="G54" s="2"/>
      <c r="H54" s="2"/>
    </row>
    <row r="55" spans="1:8" ht="12.75">
      <c r="A55" s="2"/>
      <c r="B55" s="2"/>
      <c r="G55" s="2"/>
      <c r="H55" s="2"/>
    </row>
    <row r="56" spans="1:8" ht="12.75">
      <c r="A56" s="2"/>
      <c r="B56" s="2"/>
      <c r="G56" s="2"/>
      <c r="H56" s="2"/>
    </row>
    <row r="57" spans="1:8" ht="12.75">
      <c r="A57" s="2"/>
      <c r="B57" s="2"/>
      <c r="G57" s="2"/>
      <c r="H57" s="2"/>
    </row>
    <row r="58" spans="1:8" ht="12.75">
      <c r="A58" s="2"/>
      <c r="B58" s="2"/>
      <c r="G58" s="2"/>
      <c r="H58" s="2"/>
    </row>
    <row r="59" spans="1:8" ht="12.75">
      <c r="A59" s="2"/>
      <c r="B59" s="2"/>
      <c r="G59" s="2"/>
      <c r="H59" s="2"/>
    </row>
    <row r="60" spans="1:8" ht="12.75">
      <c r="A60" s="2"/>
      <c r="B60" s="2"/>
      <c r="G60" s="2"/>
      <c r="H60" s="2"/>
    </row>
    <row r="61" spans="1:8" ht="12.75">
      <c r="A61" s="2"/>
      <c r="B61" s="2"/>
      <c r="G61" s="2"/>
      <c r="H61" s="2"/>
    </row>
    <row r="62" spans="1:8" ht="12.75">
      <c r="A62" s="2"/>
      <c r="B62" s="2"/>
      <c r="G62" s="2"/>
      <c r="H62" s="2"/>
    </row>
    <row r="63" spans="1:8" ht="12.75">
      <c r="A63" s="2"/>
      <c r="G63" s="2"/>
      <c r="H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</sheetData>
  <sheetProtection/>
  <mergeCells count="2">
    <mergeCell ref="C13:H14"/>
    <mergeCell ref="C21:H22"/>
  </mergeCells>
  <dataValidations count="2">
    <dataValidation type="list" allowBlank="1" showInputMessage="1" showErrorMessage="1" sqref="F6">
      <formula1>"Muž,Žena"</formula1>
    </dataValidation>
    <dataValidation type="list" allowBlank="1" showInputMessage="1" showErrorMessage="1" sqref="F11">
      <formula1>"0%,15%,20%,25%,32%"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Q158"/>
  <sheetViews>
    <sheetView zoomScale="75" zoomScaleNormal="75" workbookViewId="0" topLeftCell="A1">
      <selection activeCell="P39" sqref="P39"/>
    </sheetView>
  </sheetViews>
  <sheetFormatPr defaultColWidth="9.140625" defaultRowHeight="12.75"/>
  <cols>
    <col min="1" max="1" width="4.7109375" style="8" bestFit="1" customWidth="1"/>
    <col min="2" max="2" width="10.140625" style="8" customWidth="1"/>
    <col min="3" max="3" width="9.421875" style="8" bestFit="1" customWidth="1"/>
    <col min="4" max="4" width="11.57421875" style="8" bestFit="1" customWidth="1"/>
    <col min="5" max="5" width="10.140625" style="8" customWidth="1"/>
    <col min="6" max="6" width="9.57421875" style="8" bestFit="1" customWidth="1"/>
    <col min="7" max="7" width="11.8515625" style="8" bestFit="1" customWidth="1"/>
    <col min="8" max="8" width="10.7109375" style="8" bestFit="1" customWidth="1"/>
    <col min="9" max="9" width="15.28125" style="8" customWidth="1"/>
    <col min="10" max="10" width="13.57421875" style="8" bestFit="1" customWidth="1"/>
    <col min="11" max="11" width="15.57421875" style="8" bestFit="1" customWidth="1"/>
    <col min="12" max="12" width="4.57421875" style="8" customWidth="1"/>
    <col min="13" max="13" width="4.8515625" style="8" bestFit="1" customWidth="1"/>
    <col min="14" max="14" width="10.00390625" style="8" bestFit="1" customWidth="1"/>
    <col min="15" max="15" width="9.8515625" style="8" bestFit="1" customWidth="1"/>
    <col min="16" max="16" width="12.140625" style="8" bestFit="1" customWidth="1"/>
    <col min="17" max="16384" width="9.140625" style="8" customWidth="1"/>
  </cols>
  <sheetData>
    <row r="1" spans="1:13" ht="12.75">
      <c r="A1" s="22">
        <v>1</v>
      </c>
      <c r="B1" s="23">
        <v>2</v>
      </c>
      <c r="C1" s="24">
        <v>3</v>
      </c>
      <c r="D1" s="24">
        <v>4</v>
      </c>
      <c r="E1" s="23">
        <v>5</v>
      </c>
      <c r="F1" s="24">
        <v>6</v>
      </c>
      <c r="G1" s="23">
        <v>7</v>
      </c>
      <c r="H1" s="23">
        <v>8</v>
      </c>
      <c r="I1" s="23">
        <v>9</v>
      </c>
      <c r="J1" s="23">
        <v>10</v>
      </c>
      <c r="K1" s="23">
        <v>11</v>
      </c>
      <c r="M1" s="13"/>
    </row>
    <row r="2" spans="1:15" ht="12.75">
      <c r="A2" s="9"/>
      <c r="B2"/>
      <c r="C2" s="95">
        <v>1</v>
      </c>
      <c r="E2"/>
      <c r="G2" s="11"/>
      <c r="H2" s="11"/>
      <c r="I2" s="11"/>
      <c r="J2" s="11"/>
      <c r="K2" s="11"/>
      <c r="M2" s="13"/>
      <c r="N2" s="14"/>
      <c r="O2" s="13"/>
    </row>
    <row r="3" spans="1:15" ht="12.75">
      <c r="A3" s="9"/>
      <c r="B3" s="6" t="s">
        <v>1</v>
      </c>
      <c r="C3" s="6" t="s">
        <v>2</v>
      </c>
      <c r="E3"/>
      <c r="G3" s="11"/>
      <c r="H3" s="11"/>
      <c r="I3" s="11"/>
      <c r="J3" s="11"/>
      <c r="K3" s="11"/>
      <c r="M3" s="13"/>
      <c r="N3" s="38" t="s">
        <v>21</v>
      </c>
      <c r="O3" s="13"/>
    </row>
    <row r="4" spans="1:15" ht="12.75">
      <c r="A4" s="9"/>
      <c r="B4" s="16" t="str">
        <f>Data!F6</f>
        <v>Muž</v>
      </c>
      <c r="C4" s="25">
        <f>Data!F10</f>
        <v>0.024</v>
      </c>
      <c r="E4"/>
      <c r="G4" s="11"/>
      <c r="H4" s="11"/>
      <c r="I4" s="11"/>
      <c r="J4" s="11"/>
      <c r="K4" s="11"/>
      <c r="M4" s="13"/>
      <c r="N4" s="14" t="s">
        <v>13</v>
      </c>
      <c r="O4" s="15" t="s">
        <v>14</v>
      </c>
    </row>
    <row r="5" spans="1:15" ht="12.75">
      <c r="A5" s="21" t="s">
        <v>0</v>
      </c>
      <c r="B5" s="17" t="s">
        <v>12</v>
      </c>
      <c r="C5" s="17" t="s">
        <v>3</v>
      </c>
      <c r="D5" s="18" t="s">
        <v>4</v>
      </c>
      <c r="E5" s="17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20"/>
      <c r="M5" s="21" t="s">
        <v>0</v>
      </c>
      <c r="N5" s="17" t="s">
        <v>12</v>
      </c>
      <c r="O5" s="17" t="s">
        <v>12</v>
      </c>
    </row>
    <row r="6" spans="1:15" ht="12.75">
      <c r="A6"/>
      <c r="B6"/>
      <c r="C6" s="10">
        <f>1/(1+C4)</f>
        <v>0.9765625</v>
      </c>
      <c r="D6" s="1"/>
      <c r="E6"/>
      <c r="F6" s="11"/>
      <c r="G6" s="11"/>
      <c r="H6" s="11"/>
      <c r="I6" s="11"/>
      <c r="J6" s="11"/>
      <c r="K6" s="11"/>
      <c r="M6" s="13"/>
      <c r="N6" s="13"/>
      <c r="O6" s="13"/>
    </row>
    <row r="7" spans="1:15" ht="13.5" customHeight="1">
      <c r="A7"/>
      <c r="B7"/>
      <c r="C7" s="10"/>
      <c r="D7" s="1"/>
      <c r="E7"/>
      <c r="F7" s="11"/>
      <c r="G7" s="11"/>
      <c r="H7" s="11"/>
      <c r="I7" s="11"/>
      <c r="J7" s="11"/>
      <c r="K7" s="11"/>
      <c r="M7" s="13"/>
      <c r="N7" s="13"/>
      <c r="O7" s="13"/>
    </row>
    <row r="8" spans="1:15" ht="13.5" customHeight="1">
      <c r="A8" s="28"/>
      <c r="B8" s="33"/>
      <c r="C8" s="33"/>
      <c r="D8" s="33"/>
      <c r="E8" s="33"/>
      <c r="F8" s="33"/>
      <c r="G8" s="33"/>
      <c r="H8" s="33"/>
      <c r="I8" s="33"/>
      <c r="J8" s="33"/>
      <c r="K8" s="33"/>
      <c r="L8" s="31"/>
      <c r="M8" s="29"/>
      <c r="N8" s="34"/>
      <c r="O8" s="34"/>
    </row>
    <row r="9" spans="1:17" ht="13.5" customHeight="1">
      <c r="A9" s="7">
        <v>0</v>
      </c>
      <c r="B9" s="26">
        <f>IF($B$4="Muž",N9,O9)*$C$2</f>
        <v>0.004291527467261025</v>
      </c>
      <c r="C9">
        <f aca="true" t="shared" si="0" ref="C9:C22">$C$6^A9</f>
        <v>1</v>
      </c>
      <c r="D9" s="12">
        <v>100000</v>
      </c>
      <c r="E9" s="27">
        <f aca="true" t="shared" si="1" ref="E9:E22">D9*B9</f>
        <v>429.15274672610246</v>
      </c>
      <c r="F9" s="27">
        <f aca="true" t="shared" si="2" ref="F9:F22">E9*C10</f>
        <v>419.09447922470946</v>
      </c>
      <c r="G9" s="32">
        <f aca="true" t="shared" si="3" ref="G9:G22">D9*C9</f>
        <v>100000</v>
      </c>
      <c r="H9" s="27">
        <f>SUM(F9:F$109)</f>
        <v>19308.034031727602</v>
      </c>
      <c r="I9" s="27">
        <f>SUM(G9:G$109)</f>
        <v>3442788.132076778</v>
      </c>
      <c r="J9" s="27">
        <f>SUM(H9:H$109)</f>
        <v>1264336.3362297255</v>
      </c>
      <c r="K9" s="27">
        <f>SUM(I9:I$109)</f>
        <v>92940299.28328693</v>
      </c>
      <c r="M9" s="13">
        <f aca="true" t="shared" si="4" ref="M9:M72">A9</f>
        <v>0</v>
      </c>
      <c r="N9" s="37">
        <v>0.004291527467261025</v>
      </c>
      <c r="O9" s="37">
        <v>0.003462403126707425</v>
      </c>
      <c r="P9" s="37"/>
      <c r="Q9" s="37"/>
    </row>
    <row r="10" spans="1:17" ht="13.5" customHeight="1">
      <c r="A10">
        <f>A9+1</f>
        <v>1</v>
      </c>
      <c r="B10" s="26">
        <f aca="true" t="shared" si="5" ref="B10:B73">IF($B$4="Muž",N10,O10)*$C$2</f>
        <v>0.00040173804024590254</v>
      </c>
      <c r="C10">
        <f t="shared" si="0"/>
        <v>0.9765625</v>
      </c>
      <c r="D10" s="1">
        <f aca="true" t="shared" si="6" ref="D10:D23">D9-E9</f>
        <v>99570.8472532739</v>
      </c>
      <c r="E10" s="27">
        <f t="shared" si="1"/>
        <v>40.00139704115436</v>
      </c>
      <c r="F10" s="27">
        <f t="shared" si="2"/>
        <v>38.14830497851788</v>
      </c>
      <c r="G10" s="32">
        <f t="shared" si="3"/>
        <v>97237.15552077528</v>
      </c>
      <c r="H10" s="27">
        <f>SUM(F10:F$109)</f>
        <v>18888.939552502892</v>
      </c>
      <c r="I10" s="27">
        <f>SUM(G10:G$109)</f>
        <v>3342788.132076778</v>
      </c>
      <c r="J10" s="27">
        <f>SUM(H10:H$109)</f>
        <v>1245028.3021979977</v>
      </c>
      <c r="K10" s="27">
        <f>SUM(I10:I$109)</f>
        <v>89497511.15121016</v>
      </c>
      <c r="M10" s="13">
        <f t="shared" si="4"/>
        <v>1</v>
      </c>
      <c r="N10" s="37">
        <v>0.00040173804024590254</v>
      </c>
      <c r="O10" s="37">
        <v>0.0003351468470406127</v>
      </c>
      <c r="P10" s="37"/>
      <c r="Q10" s="37"/>
    </row>
    <row r="11" spans="1:17" ht="13.5" customHeight="1">
      <c r="A11">
        <f aca="true" t="shared" si="7" ref="A11:A74">A10+1</f>
        <v>2</v>
      </c>
      <c r="B11" s="26">
        <f t="shared" si="5"/>
        <v>0.00021477663147673187</v>
      </c>
      <c r="C11">
        <f t="shared" si="0"/>
        <v>0.95367431640625</v>
      </c>
      <c r="D11" s="1">
        <f t="shared" si="6"/>
        <v>99530.84585623274</v>
      </c>
      <c r="E11" s="27">
        <f t="shared" si="1"/>
        <v>21.376899801031506</v>
      </c>
      <c r="F11" s="27">
        <f t="shared" si="2"/>
        <v>19.908789359993772</v>
      </c>
      <c r="G11" s="32">
        <f t="shared" si="3"/>
        <v>94920.0113832786</v>
      </c>
      <c r="H11" s="27">
        <f>SUM(F11:F$109)</f>
        <v>18850.791247524376</v>
      </c>
      <c r="I11" s="27">
        <f>SUM(G11:G$109)</f>
        <v>3245550.9765560026</v>
      </c>
      <c r="J11" s="27">
        <f>SUM(H11:H$109)</f>
        <v>1226139.362645495</v>
      </c>
      <c r="K11" s="27">
        <f>SUM(I11:I$109)</f>
        <v>86154723.01913337</v>
      </c>
      <c r="M11" s="13">
        <f t="shared" si="4"/>
        <v>2</v>
      </c>
      <c r="N11" s="37">
        <v>0.00021477663147673187</v>
      </c>
      <c r="O11" s="37">
        <v>0.00018292404028197318</v>
      </c>
      <c r="P11" s="37"/>
      <c r="Q11" s="37"/>
    </row>
    <row r="12" spans="1:17" ht="12.75">
      <c r="A12">
        <f t="shared" si="7"/>
        <v>3</v>
      </c>
      <c r="B12" s="26">
        <f t="shared" si="5"/>
        <v>0.00024090316671143697</v>
      </c>
      <c r="C12">
        <f t="shared" si="0"/>
        <v>0.9313225746154785</v>
      </c>
      <c r="D12" s="1">
        <f t="shared" si="6"/>
        <v>99509.46895643171</v>
      </c>
      <c r="E12" s="27">
        <f t="shared" si="1"/>
        <v>23.97214618937783</v>
      </c>
      <c r="F12" s="27">
        <f t="shared" si="2"/>
        <v>21.80253994936523</v>
      </c>
      <c r="G12" s="32">
        <f t="shared" si="3"/>
        <v>92675.41482712301</v>
      </c>
      <c r="H12" s="27">
        <f>SUM(F12:F$109)</f>
        <v>18830.882458164382</v>
      </c>
      <c r="I12" s="27">
        <f>SUM(G12:G$109)</f>
        <v>3150630.9651727243</v>
      </c>
      <c r="J12" s="27">
        <f>SUM(H12:H$109)</f>
        <v>1207288.5713979702</v>
      </c>
      <c r="K12" s="27">
        <f>SUM(I12:I$109)</f>
        <v>82909172.04257737</v>
      </c>
      <c r="M12" s="13">
        <f t="shared" si="4"/>
        <v>3</v>
      </c>
      <c r="N12" s="37">
        <v>0.00024090316671143697</v>
      </c>
      <c r="O12" s="37">
        <v>0.00025558511426082564</v>
      </c>
      <c r="P12" s="37"/>
      <c r="Q12" s="37"/>
    </row>
    <row r="13" spans="1:17" ht="12.75">
      <c r="A13">
        <f t="shared" si="7"/>
        <v>4</v>
      </c>
      <c r="B13" s="26">
        <f t="shared" si="5"/>
        <v>0.0001618710481310348</v>
      </c>
      <c r="C13">
        <f t="shared" si="0"/>
        <v>0.9094947017729282</v>
      </c>
      <c r="D13" s="1">
        <f t="shared" si="6"/>
        <v>99485.49681024233</v>
      </c>
      <c r="E13" s="27">
        <f t="shared" si="1"/>
        <v>16.103821642510646</v>
      </c>
      <c r="F13" s="27">
        <f t="shared" si="2"/>
        <v>14.30306685757778</v>
      </c>
      <c r="G13" s="32">
        <f t="shared" si="3"/>
        <v>90481.53225216296</v>
      </c>
      <c r="H13" s="27">
        <f>SUM(F13:F$109)</f>
        <v>18809.07991821502</v>
      </c>
      <c r="I13" s="27">
        <f>SUM(G13:G$109)</f>
        <v>3057955.550345601</v>
      </c>
      <c r="J13" s="27">
        <f>SUM(H13:H$109)</f>
        <v>1188457.6889398058</v>
      </c>
      <c r="K13" s="27">
        <f>SUM(I13:I$109)</f>
        <v>79758541.07740466</v>
      </c>
      <c r="M13" s="13">
        <f t="shared" si="4"/>
        <v>4</v>
      </c>
      <c r="N13" s="37">
        <v>0.0001618710481310348</v>
      </c>
      <c r="O13" s="37">
        <v>0.0001258009230618029</v>
      </c>
      <c r="P13" s="37"/>
      <c r="Q13" s="37"/>
    </row>
    <row r="14" spans="1:17" ht="12.75">
      <c r="A14">
        <f t="shared" si="7"/>
        <v>5</v>
      </c>
      <c r="B14" s="26">
        <f t="shared" si="5"/>
        <v>0.00014809534293858118</v>
      </c>
      <c r="C14">
        <f t="shared" si="0"/>
        <v>0.8881784197001252</v>
      </c>
      <c r="D14" s="1">
        <f t="shared" si="6"/>
        <v>99469.39298859982</v>
      </c>
      <c r="E14" s="27">
        <f t="shared" si="1"/>
        <v>14.730953866539192</v>
      </c>
      <c r="F14" s="27">
        <f t="shared" si="2"/>
        <v>12.777065747908427</v>
      </c>
      <c r="G14" s="32">
        <f t="shared" si="3"/>
        <v>88346.56827314531</v>
      </c>
      <c r="H14" s="27">
        <f>SUM(F14:F$109)</f>
        <v>18794.77685135744</v>
      </c>
      <c r="I14" s="27">
        <f>SUM(G14:G$109)</f>
        <v>2967474.0180934384</v>
      </c>
      <c r="J14" s="27">
        <f>SUM(H14:H$109)</f>
        <v>1169648.6090215908</v>
      </c>
      <c r="K14" s="27">
        <f>SUM(I14:I$109)</f>
        <v>76700585.52705903</v>
      </c>
      <c r="M14" s="13">
        <f t="shared" si="4"/>
        <v>5</v>
      </c>
      <c r="N14" s="37">
        <v>0.00014809534293858118</v>
      </c>
      <c r="O14" s="37">
        <v>9.781901616312538E-05</v>
      </c>
      <c r="P14" s="37"/>
      <c r="Q14" s="37"/>
    </row>
    <row r="15" spans="1:17" ht="12.75">
      <c r="A15">
        <f t="shared" si="7"/>
        <v>6</v>
      </c>
      <c r="B15" s="26">
        <f t="shared" si="5"/>
        <v>0.0001539609998030267</v>
      </c>
      <c r="C15">
        <f t="shared" si="0"/>
        <v>0.8673617379884035</v>
      </c>
      <c r="D15" s="1">
        <f t="shared" si="6"/>
        <v>99454.66203473328</v>
      </c>
      <c r="E15" s="27">
        <f t="shared" si="1"/>
        <v>15.312139201939656</v>
      </c>
      <c r="F15" s="27">
        <f t="shared" si="2"/>
        <v>12.969886396987057</v>
      </c>
      <c r="G15" s="32">
        <f t="shared" si="3"/>
        <v>86263.16851349555</v>
      </c>
      <c r="H15" s="27">
        <f>SUM(F15:F$109)</f>
        <v>18781.999785609532</v>
      </c>
      <c r="I15" s="27">
        <f>SUM(G15:G$109)</f>
        <v>2879127.4498202936</v>
      </c>
      <c r="J15" s="27">
        <f>SUM(H15:H$109)</f>
        <v>1150853.8321702334</v>
      </c>
      <c r="K15" s="27">
        <f>SUM(I15:I$109)</f>
        <v>73733111.50896561</v>
      </c>
      <c r="M15" s="13">
        <f t="shared" si="4"/>
        <v>6</v>
      </c>
      <c r="N15" s="37">
        <v>0.0001539609998030267</v>
      </c>
      <c r="O15" s="37">
        <v>6.507062868299496E-05</v>
      </c>
      <c r="P15" s="37"/>
      <c r="Q15" s="37"/>
    </row>
    <row r="16" spans="1:17" ht="12.75">
      <c r="A16">
        <f t="shared" si="7"/>
        <v>7</v>
      </c>
      <c r="B16" s="26">
        <f t="shared" si="5"/>
        <v>0.0001739467482047008</v>
      </c>
      <c r="C16">
        <f t="shared" si="0"/>
        <v>0.8470329472543003</v>
      </c>
      <c r="D16" s="1">
        <f t="shared" si="6"/>
        <v>99439.34989553134</v>
      </c>
      <c r="E16" s="27">
        <f t="shared" si="1"/>
        <v>17.29715155791713</v>
      </c>
      <c r="F16" s="27">
        <f t="shared" si="2"/>
        <v>14.307868421100448</v>
      </c>
      <c r="G16" s="32">
        <f t="shared" si="3"/>
        <v>84228.40561506352</v>
      </c>
      <c r="H16" s="27">
        <f>SUM(F16:F$109)</f>
        <v>18769.029899212543</v>
      </c>
      <c r="I16" s="27">
        <f>SUM(G16:G$109)</f>
        <v>2792864.281306798</v>
      </c>
      <c r="J16" s="27">
        <f>SUM(H16:H$109)</f>
        <v>1132071.8323846236</v>
      </c>
      <c r="K16" s="27">
        <f>SUM(I16:I$109)</f>
        <v>70853984.0591453</v>
      </c>
      <c r="M16" s="13">
        <f t="shared" si="4"/>
        <v>7</v>
      </c>
      <c r="N16" s="37">
        <v>0.0001739467482047008</v>
      </c>
      <c r="O16" s="37">
        <v>0.00010323526291955432</v>
      </c>
      <c r="P16" s="37"/>
      <c r="Q16" s="37"/>
    </row>
    <row r="17" spans="1:17" ht="12.75">
      <c r="A17">
        <f t="shared" si="7"/>
        <v>8</v>
      </c>
      <c r="B17" s="26">
        <f t="shared" si="5"/>
        <v>0.0001924307905628586</v>
      </c>
      <c r="C17">
        <f t="shared" si="0"/>
        <v>0.8271806125530277</v>
      </c>
      <c r="D17" s="1">
        <f t="shared" si="6"/>
        <v>99422.05274397343</v>
      </c>
      <c r="E17" s="27">
        <f t="shared" si="1"/>
        <v>19.131864208905032</v>
      </c>
      <c r="F17" s="27">
        <f t="shared" si="2"/>
        <v>15.454596831643956</v>
      </c>
      <c r="G17" s="32">
        <f t="shared" si="3"/>
        <v>82239.99449003936</v>
      </c>
      <c r="H17" s="27">
        <f>SUM(F17:F$109)</f>
        <v>18754.722030791443</v>
      </c>
      <c r="I17" s="27">
        <f>SUM(G17:G$109)</f>
        <v>2708635.875691734</v>
      </c>
      <c r="J17" s="27">
        <f>SUM(H17:H$109)</f>
        <v>1113302.802485411</v>
      </c>
      <c r="K17" s="27">
        <f>SUM(I17:I$109)</f>
        <v>68061119.7778385</v>
      </c>
      <c r="M17" s="13">
        <f t="shared" si="4"/>
        <v>8</v>
      </c>
      <c r="N17" s="37">
        <v>0.0001924307905628586</v>
      </c>
      <c r="O17" s="37">
        <v>0.00011750258235831978</v>
      </c>
      <c r="P17" s="37"/>
      <c r="Q17" s="37"/>
    </row>
    <row r="18" spans="1:17" ht="12.75">
      <c r="A18">
        <f t="shared" si="7"/>
        <v>9</v>
      </c>
      <c r="B18" s="26">
        <f t="shared" si="5"/>
        <v>0.00018283179004430217</v>
      </c>
      <c r="C18">
        <f t="shared" si="0"/>
        <v>0.8077935669463161</v>
      </c>
      <c r="D18" s="1">
        <f t="shared" si="6"/>
        <v>99402.92087976453</v>
      </c>
      <c r="E18" s="27">
        <f t="shared" si="1"/>
        <v>18.17401396007949</v>
      </c>
      <c r="F18" s="27">
        <f t="shared" si="2"/>
        <v>14.336769104047612</v>
      </c>
      <c r="G18" s="32">
        <f t="shared" si="3"/>
        <v>80297.04002234743</v>
      </c>
      <c r="H18" s="27">
        <f>SUM(F18:F$109)</f>
        <v>18739.267433959798</v>
      </c>
      <c r="I18" s="27">
        <f>SUM(G18:G$109)</f>
        <v>2626395.8812016947</v>
      </c>
      <c r="J18" s="27">
        <f>SUM(H18:H$109)</f>
        <v>1094548.08045462</v>
      </c>
      <c r="K18" s="27">
        <f>SUM(I18:I$109)</f>
        <v>65352483.902146794</v>
      </c>
      <c r="M18" s="13">
        <f t="shared" si="4"/>
        <v>9</v>
      </c>
      <c r="N18" s="37">
        <v>0.00018283179004430217</v>
      </c>
      <c r="O18" s="37">
        <v>0.00012219978244942808</v>
      </c>
      <c r="P18" s="37"/>
      <c r="Q18" s="37"/>
    </row>
    <row r="19" spans="1:17" ht="12.75">
      <c r="A19">
        <f t="shared" si="7"/>
        <v>10</v>
      </c>
      <c r="B19" s="26">
        <f t="shared" si="5"/>
        <v>0.00015249511827386542</v>
      </c>
      <c r="C19">
        <f t="shared" si="0"/>
        <v>0.7888609052210118</v>
      </c>
      <c r="D19" s="1">
        <f t="shared" si="6"/>
        <v>99384.74686580445</v>
      </c>
      <c r="E19" s="27">
        <f t="shared" si="1"/>
        <v>15.155688727919026</v>
      </c>
      <c r="F19" s="27">
        <f t="shared" si="2"/>
        <v>11.675517899564538</v>
      </c>
      <c r="G19" s="32">
        <f t="shared" si="3"/>
        <v>78400.74137771962</v>
      </c>
      <c r="H19" s="27">
        <f>SUM(F19:F$109)</f>
        <v>18724.93066485575</v>
      </c>
      <c r="I19" s="27">
        <f>SUM(G19:G$109)</f>
        <v>2546098.8411793476</v>
      </c>
      <c r="J19" s="27">
        <f>SUM(H19:H$109)</f>
        <v>1075808.81302066</v>
      </c>
      <c r="K19" s="27">
        <f>SUM(I19:I$109)</f>
        <v>62726088.02094511</v>
      </c>
      <c r="M19" s="13">
        <f t="shared" si="4"/>
        <v>10</v>
      </c>
      <c r="N19" s="37">
        <v>0.00015249511827386542</v>
      </c>
      <c r="O19" s="37">
        <v>0.00011444711652330852</v>
      </c>
      <c r="P19" s="37"/>
      <c r="Q19" s="37"/>
    </row>
    <row r="20" spans="1:17" ht="12.75">
      <c r="A20">
        <f t="shared" si="7"/>
        <v>11</v>
      </c>
      <c r="B20" s="26">
        <f t="shared" si="5"/>
        <v>0.00016021739576832505</v>
      </c>
      <c r="C20">
        <f t="shared" si="0"/>
        <v>0.7703719777548943</v>
      </c>
      <c r="D20" s="1">
        <f t="shared" si="6"/>
        <v>99369.59117707654</v>
      </c>
      <c r="E20" s="27">
        <f t="shared" si="1"/>
        <v>15.920737116954333</v>
      </c>
      <c r="F20" s="27">
        <f t="shared" si="2"/>
        <v>11.97743138682018</v>
      </c>
      <c r="G20" s="32">
        <f t="shared" si="3"/>
        <v>76551.54848377974</v>
      </c>
      <c r="H20" s="27">
        <f>SUM(F20:F$109)</f>
        <v>18713.255146956188</v>
      </c>
      <c r="I20" s="27">
        <f>SUM(G20:G$109)</f>
        <v>2467698.0998016284</v>
      </c>
      <c r="J20" s="27">
        <f>SUM(H20:H$109)</f>
        <v>1057083.882355804</v>
      </c>
      <c r="K20" s="27">
        <f>SUM(I20:I$109)</f>
        <v>60179989.17976575</v>
      </c>
      <c r="M20" s="13">
        <f t="shared" si="4"/>
        <v>11</v>
      </c>
      <c r="N20" s="37">
        <v>0.00016021739576832505</v>
      </c>
      <c r="O20" s="37">
        <v>0.00012677792027471213</v>
      </c>
      <c r="P20" s="37"/>
      <c r="Q20" s="37"/>
    </row>
    <row r="21" spans="1:17" ht="12.75">
      <c r="A21">
        <f t="shared" si="7"/>
        <v>12</v>
      </c>
      <c r="B21" s="26">
        <f t="shared" si="5"/>
        <v>0.00018820221801552073</v>
      </c>
      <c r="C21">
        <f t="shared" si="0"/>
        <v>0.752316384526264</v>
      </c>
      <c r="D21" s="1">
        <f t="shared" si="6"/>
        <v>99353.67043995958</v>
      </c>
      <c r="E21" s="27">
        <f t="shared" si="1"/>
        <v>18.698581144783468</v>
      </c>
      <c r="F21" s="27">
        <f t="shared" si="2"/>
        <v>13.737547815053192</v>
      </c>
      <c r="G21" s="32">
        <f t="shared" si="3"/>
        <v>74745.39413480434</v>
      </c>
      <c r="H21" s="27">
        <f>SUM(F21:F$109)</f>
        <v>18701.27771556937</v>
      </c>
      <c r="I21" s="27">
        <f>SUM(G21:G$109)</f>
        <v>2391146.5513178483</v>
      </c>
      <c r="J21" s="27">
        <f>SUM(H21:H$109)</f>
        <v>1038370.6272088473</v>
      </c>
      <c r="K21" s="27">
        <f>SUM(I21:I$109)</f>
        <v>57712291.07996413</v>
      </c>
      <c r="M21" s="13">
        <f t="shared" si="4"/>
        <v>12</v>
      </c>
      <c r="N21" s="37">
        <v>0.00018820221801552073</v>
      </c>
      <c r="O21" s="37">
        <v>0.000127745568135329</v>
      </c>
      <c r="P21" s="37"/>
      <c r="Q21" s="37"/>
    </row>
    <row r="22" spans="1:17" ht="12.75">
      <c r="A22">
        <f t="shared" si="7"/>
        <v>13</v>
      </c>
      <c r="B22" s="26">
        <f t="shared" si="5"/>
        <v>0.0002317401473581615</v>
      </c>
      <c r="C22">
        <f t="shared" si="0"/>
        <v>0.7346839692639296</v>
      </c>
      <c r="D22" s="1">
        <f t="shared" si="6"/>
        <v>99334.9718588148</v>
      </c>
      <c r="E22" s="27">
        <f t="shared" si="1"/>
        <v>23.01990101638057</v>
      </c>
      <c r="F22" s="27">
        <f t="shared" si="2"/>
        <v>16.515968994899655</v>
      </c>
      <c r="G22" s="32">
        <f t="shared" si="3"/>
        <v>72979.81141195481</v>
      </c>
      <c r="H22" s="27">
        <f>SUM(F22:F$109)</f>
        <v>18687.540167754316</v>
      </c>
      <c r="I22" s="27">
        <f>SUM(G22:G$109)</f>
        <v>2316401.157183044</v>
      </c>
      <c r="J22" s="27">
        <f>SUM(H22:H$109)</f>
        <v>1019669.3494932778</v>
      </c>
      <c r="K22" s="27">
        <f>SUM(I22:I$109)</f>
        <v>55321144.52864628</v>
      </c>
      <c r="M22" s="13">
        <f t="shared" si="4"/>
        <v>13</v>
      </c>
      <c r="N22" s="37">
        <v>0.0002317401473581615</v>
      </c>
      <c r="O22" s="37">
        <v>0.00014881526070198436</v>
      </c>
      <c r="P22" s="37"/>
      <c r="Q22" s="37"/>
    </row>
    <row r="23" spans="1:17" ht="12.75">
      <c r="A23">
        <f t="shared" si="7"/>
        <v>14</v>
      </c>
      <c r="B23" s="26">
        <f t="shared" si="5"/>
        <v>0.0002787282193655871</v>
      </c>
      <c r="C23">
        <f aca="true" t="shared" si="8" ref="C23:C54">$C$6^A23</f>
        <v>0.7174648137343064</v>
      </c>
      <c r="D23" s="1">
        <f t="shared" si="6"/>
        <v>99311.95195779842</v>
      </c>
      <c r="E23" s="27">
        <f>D23*B23</f>
        <v>27.681043530917886</v>
      </c>
      <c r="F23" s="27">
        <f>E23*C24</f>
        <v>19.394701895391822</v>
      </c>
      <c r="G23" s="32">
        <f>D23*C23</f>
        <v>71252.83111299222</v>
      </c>
      <c r="H23" s="27">
        <f>SUM(F23:F$109)</f>
        <v>18671.024198759416</v>
      </c>
      <c r="I23" s="27">
        <f>SUM(G23:G$109)</f>
        <v>2243421.345771089</v>
      </c>
      <c r="J23" s="27">
        <f>SUM(H23:H$109)</f>
        <v>1000981.8093255234</v>
      </c>
      <c r="K23" s="27">
        <f>SUM(I23:I$109)</f>
        <v>53004743.37146325</v>
      </c>
      <c r="M23" s="13">
        <f t="shared" si="4"/>
        <v>14</v>
      </c>
      <c r="N23" s="37">
        <v>0.0002787282193655871</v>
      </c>
      <c r="O23" s="37">
        <v>0.00013407672885545896</v>
      </c>
      <c r="P23" s="37"/>
      <c r="Q23" s="37"/>
    </row>
    <row r="24" spans="1:17" ht="12.75">
      <c r="A24">
        <f t="shared" si="7"/>
        <v>15</v>
      </c>
      <c r="B24" s="26">
        <f t="shared" si="5"/>
        <v>0.00031828667246436293</v>
      </c>
      <c r="C24">
        <f t="shared" si="8"/>
        <v>0.7006492321624085</v>
      </c>
      <c r="D24" s="1">
        <f>D23-E23</f>
        <v>99284.2709142675</v>
      </c>
      <c r="E24" s="27">
        <f aca="true" t="shared" si="9" ref="E24:E87">D24*B24</f>
        <v>31.600860217352537</v>
      </c>
      <c r="F24" s="27">
        <f aca="true" t="shared" si="10" ref="F24:F87">E24*C25</f>
        <v>21.622185983359042</v>
      </c>
      <c r="G24" s="27">
        <f aca="true" t="shared" si="11" ref="G24:G87">D24*C24</f>
        <v>69563.44818188607</v>
      </c>
      <c r="H24" s="27">
        <f>SUM(F24:F$109)</f>
        <v>18651.62949686402</v>
      </c>
      <c r="I24" s="27">
        <f>SUM(G24:G$109)</f>
        <v>2172168.5146580967</v>
      </c>
      <c r="J24" s="27">
        <f>SUM(H24:H$109)</f>
        <v>982310.7851267641</v>
      </c>
      <c r="K24" s="27">
        <f>SUM(I24:I$109)</f>
        <v>50761322.02569216</v>
      </c>
      <c r="M24" s="13">
        <f t="shared" si="4"/>
        <v>15</v>
      </c>
      <c r="N24" s="37">
        <v>0.00031828667246436293</v>
      </c>
      <c r="O24" s="37">
        <v>0.00016399187068460996</v>
      </c>
      <c r="P24" s="37"/>
      <c r="Q24" s="37"/>
    </row>
    <row r="25" spans="1:17" ht="12.75">
      <c r="A25">
        <f t="shared" si="7"/>
        <v>16</v>
      </c>
      <c r="B25" s="26">
        <f t="shared" si="5"/>
        <v>0.0004234561343293697</v>
      </c>
      <c r="C25">
        <f t="shared" si="8"/>
        <v>0.6842277657836021</v>
      </c>
      <c r="D25" s="1">
        <f aca="true" t="shared" si="12" ref="D25:D88">D24-E24</f>
        <v>99252.67005405015</v>
      </c>
      <c r="E25" s="27">
        <f t="shared" si="9"/>
        <v>42.02915198295647</v>
      </c>
      <c r="F25" s="27">
        <f t="shared" si="10"/>
        <v>28.08350855378687</v>
      </c>
      <c r="G25" s="27">
        <f t="shared" si="11"/>
        <v>67911.43267913976</v>
      </c>
      <c r="H25" s="27">
        <f>SUM(F25:F$109)</f>
        <v>18630.007310880665</v>
      </c>
      <c r="I25" s="27">
        <f>SUM(G25:G$109)</f>
        <v>2102605.0664762096</v>
      </c>
      <c r="J25" s="27">
        <f>SUM(H25:H$109)</f>
        <v>963659.1556298999</v>
      </c>
      <c r="K25" s="27">
        <f>SUM(I25:I$109)</f>
        <v>48589153.51103406</v>
      </c>
      <c r="M25" s="13">
        <f t="shared" si="4"/>
        <v>16</v>
      </c>
      <c r="N25" s="37">
        <v>0.0004234561343293697</v>
      </c>
      <c r="O25" s="37">
        <v>0.0001728898377948429</v>
      </c>
      <c r="P25" s="37"/>
      <c r="Q25" s="37"/>
    </row>
    <row r="26" spans="1:17" ht="12.75">
      <c r="A26">
        <f t="shared" si="7"/>
        <v>17</v>
      </c>
      <c r="B26" s="26">
        <f t="shared" si="5"/>
        <v>0.0006085017142243299</v>
      </c>
      <c r="C26">
        <f t="shared" si="8"/>
        <v>0.6681911775230489</v>
      </c>
      <c r="D26" s="1">
        <f t="shared" si="12"/>
        <v>99210.64090206719</v>
      </c>
      <c r="E26" s="27">
        <f t="shared" si="9"/>
        <v>60.369845058202294</v>
      </c>
      <c r="F26" s="27">
        <f t="shared" si="10"/>
        <v>39.39316196906661</v>
      </c>
      <c r="G26" s="27">
        <f t="shared" si="11"/>
        <v>66291.67496716863</v>
      </c>
      <c r="H26" s="27">
        <f>SUM(F26:F$109)</f>
        <v>18601.923802326877</v>
      </c>
      <c r="I26" s="27">
        <f>SUM(G26:G$109)</f>
        <v>2034693.63379707</v>
      </c>
      <c r="J26" s="27">
        <f>SUM(H26:H$109)</f>
        <v>945029.1483190194</v>
      </c>
      <c r="K26" s="27">
        <f>SUM(I26:I$109)</f>
        <v>46486548.444557846</v>
      </c>
      <c r="M26" s="13">
        <f t="shared" si="4"/>
        <v>17</v>
      </c>
      <c r="N26" s="37">
        <v>0.0006085017142243299</v>
      </c>
      <c r="O26" s="37">
        <v>0.00024977130221881527</v>
      </c>
      <c r="P26" s="37"/>
      <c r="Q26" s="37"/>
    </row>
    <row r="27" spans="1:17" ht="12.75">
      <c r="A27">
        <f t="shared" si="7"/>
        <v>18</v>
      </c>
      <c r="B27" s="26">
        <f t="shared" si="5"/>
        <v>0.0007265531292703908</v>
      </c>
      <c r="C27">
        <f t="shared" si="8"/>
        <v>0.6525304467998525</v>
      </c>
      <c r="D27" s="1">
        <f t="shared" si="12"/>
        <v>99150.27105700898</v>
      </c>
      <c r="E27" s="27">
        <f t="shared" si="9"/>
        <v>72.03793970447734</v>
      </c>
      <c r="F27" s="27">
        <f t="shared" si="10"/>
        <v>45.905223615140066</v>
      </c>
      <c r="G27" s="27">
        <f t="shared" si="11"/>
        <v>64698.57067315656</v>
      </c>
      <c r="H27" s="27">
        <f>SUM(F27:F$109)</f>
        <v>18562.53064035781</v>
      </c>
      <c r="I27" s="27">
        <f>SUM(G27:G$109)</f>
        <v>1968401.9588299012</v>
      </c>
      <c r="J27" s="27">
        <f>SUM(H27:H$109)</f>
        <v>926427.2245166925</v>
      </c>
      <c r="K27" s="27">
        <f>SUM(I27:I$109)</f>
        <v>44451854.81076077</v>
      </c>
      <c r="M27" s="13">
        <f t="shared" si="4"/>
        <v>18</v>
      </c>
      <c r="N27" s="37">
        <v>0.0007265531292703908</v>
      </c>
      <c r="O27" s="37">
        <v>0.00030436906504949235</v>
      </c>
      <c r="P27" s="37"/>
      <c r="Q27" s="37"/>
    </row>
    <row r="28" spans="1:17" ht="12.75">
      <c r="A28">
        <f t="shared" si="7"/>
        <v>19</v>
      </c>
      <c r="B28" s="26">
        <f t="shared" si="5"/>
        <v>0.0008264573535665676</v>
      </c>
      <c r="C28">
        <f t="shared" si="8"/>
        <v>0.6372367644529809</v>
      </c>
      <c r="D28" s="1">
        <f t="shared" si="12"/>
        <v>99078.23311730451</v>
      </c>
      <c r="E28" s="27">
        <f t="shared" si="9"/>
        <v>81.88393433817893</v>
      </c>
      <c r="F28" s="27">
        <f t="shared" si="10"/>
        <v>50.95649743978661</v>
      </c>
      <c r="G28" s="27">
        <f t="shared" si="11"/>
        <v>63136.29269938931</v>
      </c>
      <c r="H28" s="27">
        <f>SUM(F28:F$109)</f>
        <v>18516.62541674267</v>
      </c>
      <c r="I28" s="27">
        <f>SUM(G28:G$109)</f>
        <v>1903703.3881567447</v>
      </c>
      <c r="J28" s="27">
        <f>SUM(H28:H$109)</f>
        <v>907864.6938763347</v>
      </c>
      <c r="K28" s="27">
        <f>SUM(I28:I$109)</f>
        <v>42483452.85193088</v>
      </c>
      <c r="M28" s="13">
        <f t="shared" si="4"/>
        <v>19</v>
      </c>
      <c r="N28" s="37">
        <v>0.0008264573535665676</v>
      </c>
      <c r="O28" s="37">
        <v>0.0003310733656518572</v>
      </c>
      <c r="P28" s="37"/>
      <c r="Q28" s="37"/>
    </row>
    <row r="29" spans="1:17" ht="12.75">
      <c r="A29">
        <f t="shared" si="7"/>
        <v>20</v>
      </c>
      <c r="B29" s="26">
        <f t="shared" si="5"/>
        <v>0.0009078136874185461</v>
      </c>
      <c r="C29">
        <f t="shared" si="8"/>
        <v>0.6223015277861143</v>
      </c>
      <c r="D29" s="1">
        <f t="shared" si="12"/>
        <v>98996.34918296633</v>
      </c>
      <c r="E29" s="27">
        <f t="shared" si="9"/>
        <v>89.87024079276263</v>
      </c>
      <c r="F29" s="27">
        <f t="shared" si="10"/>
        <v>54.615613425627096</v>
      </c>
      <c r="G29" s="27">
        <f t="shared" si="11"/>
        <v>61605.579341807585</v>
      </c>
      <c r="H29" s="27">
        <f>SUM(F29:F$109)</f>
        <v>18465.668919302883</v>
      </c>
      <c r="I29" s="27">
        <f>SUM(G29:G$109)</f>
        <v>1840567.0954573555</v>
      </c>
      <c r="J29" s="27">
        <f>SUM(H29:H$109)</f>
        <v>889348.068459592</v>
      </c>
      <c r="K29" s="27">
        <f>SUM(I29:I$109)</f>
        <v>40579749.46377414</v>
      </c>
      <c r="M29" s="13">
        <f t="shared" si="4"/>
        <v>20</v>
      </c>
      <c r="N29" s="37">
        <v>0.0009078136874185461</v>
      </c>
      <c r="O29" s="37">
        <v>0.00031756157685103314</v>
      </c>
      <c r="P29" s="37"/>
      <c r="Q29" s="37"/>
    </row>
    <row r="30" spans="1:17" ht="12.75">
      <c r="A30">
        <f t="shared" si="7"/>
        <v>21</v>
      </c>
      <c r="B30" s="26">
        <f t="shared" si="5"/>
        <v>0.0009483974096674563</v>
      </c>
      <c r="C30">
        <f t="shared" si="8"/>
        <v>0.6077163357286272</v>
      </c>
      <c r="D30" s="1">
        <f t="shared" si="12"/>
        <v>98906.47894217356</v>
      </c>
      <c r="E30" s="27">
        <f t="shared" si="9"/>
        <v>93.80264842808623</v>
      </c>
      <c r="F30" s="27">
        <f t="shared" si="10"/>
        <v>55.669337680036364</v>
      </c>
      <c r="G30" s="27">
        <f t="shared" si="11"/>
        <v>60107.08296255834</v>
      </c>
      <c r="H30" s="27">
        <f>SUM(F30:F$109)</f>
        <v>18411.05330587726</v>
      </c>
      <c r="I30" s="27">
        <f>SUM(G30:G$109)</f>
        <v>1778961.5161155476</v>
      </c>
      <c r="J30" s="27">
        <f>SUM(H30:H$109)</f>
        <v>870882.3995402892</v>
      </c>
      <c r="K30" s="27">
        <f>SUM(I30:I$109)</f>
        <v>38739182.36831677</v>
      </c>
      <c r="M30" s="13">
        <f t="shared" si="4"/>
        <v>21</v>
      </c>
      <c r="N30" s="37">
        <v>0.0009483974096674563</v>
      </c>
      <c r="O30" s="37">
        <v>0.0003137565214282878</v>
      </c>
      <c r="P30" s="37"/>
      <c r="Q30" s="37"/>
    </row>
    <row r="31" spans="1:17" ht="12.75">
      <c r="A31">
        <f t="shared" si="7"/>
        <v>22</v>
      </c>
      <c r="B31" s="26">
        <f t="shared" si="5"/>
        <v>0.0010390050256103844</v>
      </c>
      <c r="C31">
        <f t="shared" si="8"/>
        <v>0.5934729841099875</v>
      </c>
      <c r="D31" s="1">
        <f t="shared" si="12"/>
        <v>98812.67629374548</v>
      </c>
      <c r="E31" s="27">
        <f t="shared" si="9"/>
        <v>102.66686726321365</v>
      </c>
      <c r="F31" s="27">
        <f t="shared" si="10"/>
        <v>59.50196492570643</v>
      </c>
      <c r="G31" s="27">
        <f t="shared" si="11"/>
        <v>58642.65386794335</v>
      </c>
      <c r="H31" s="27">
        <f>SUM(F31:F$109)</f>
        <v>18355.38396819722</v>
      </c>
      <c r="I31" s="27">
        <f>SUM(G31:G$109)</f>
        <v>1718854.4331529895</v>
      </c>
      <c r="J31" s="27">
        <f>SUM(H31:H$109)</f>
        <v>852471.3462344117</v>
      </c>
      <c r="K31" s="27">
        <f>SUM(I31:I$109)</f>
        <v>36960220.852201216</v>
      </c>
      <c r="M31" s="13">
        <f t="shared" si="4"/>
        <v>22</v>
      </c>
      <c r="N31" s="37">
        <v>0.0010390050256103844</v>
      </c>
      <c r="O31" s="37">
        <v>0.0002971936892129934</v>
      </c>
      <c r="P31" s="37"/>
      <c r="Q31" s="37"/>
    </row>
    <row r="32" spans="1:17" ht="12.75">
      <c r="A32">
        <f t="shared" si="7"/>
        <v>23</v>
      </c>
      <c r="B32" s="26">
        <f t="shared" si="5"/>
        <v>0.0011102919908160258</v>
      </c>
      <c r="C32">
        <f t="shared" si="8"/>
        <v>0.5795634610449096</v>
      </c>
      <c r="D32" s="1">
        <f t="shared" si="12"/>
        <v>98710.00942648227</v>
      </c>
      <c r="E32" s="27">
        <f t="shared" si="9"/>
        <v>109.59693287959767</v>
      </c>
      <c r="F32" s="27">
        <f t="shared" si="10"/>
        <v>62.02966576133425</v>
      </c>
      <c r="G32" s="27">
        <f t="shared" si="11"/>
        <v>57208.714702987716</v>
      </c>
      <c r="H32" s="27">
        <f>SUM(F32:F$109)</f>
        <v>18295.882003271516</v>
      </c>
      <c r="I32" s="27">
        <f>SUM(G32:G$109)</f>
        <v>1660211.7792850463</v>
      </c>
      <c r="J32" s="27">
        <f>SUM(H32:H$109)</f>
        <v>834115.9622662145</v>
      </c>
      <c r="K32" s="27">
        <f>SUM(I32:I$109)</f>
        <v>35241366.41904821</v>
      </c>
      <c r="M32" s="13">
        <f t="shared" si="4"/>
        <v>23</v>
      </c>
      <c r="N32" s="37">
        <v>0.0011102919908160258</v>
      </c>
      <c r="O32" s="37">
        <v>0.00030306917856426363</v>
      </c>
      <c r="P32" s="37"/>
      <c r="Q32" s="37"/>
    </row>
    <row r="33" spans="1:17" ht="12.75">
      <c r="A33">
        <f t="shared" si="7"/>
        <v>24</v>
      </c>
      <c r="B33" s="26">
        <f t="shared" si="5"/>
        <v>0.0010898163202022193</v>
      </c>
      <c r="C33">
        <f t="shared" si="8"/>
        <v>0.5659799424266695</v>
      </c>
      <c r="D33" s="1">
        <f t="shared" si="12"/>
        <v>98600.41249360268</v>
      </c>
      <c r="E33" s="27">
        <f t="shared" si="9"/>
        <v>107.456338714199</v>
      </c>
      <c r="F33" s="27">
        <f t="shared" si="10"/>
        <v>59.392707420745175</v>
      </c>
      <c r="G33" s="27">
        <f t="shared" si="11"/>
        <v>55805.855786375105</v>
      </c>
      <c r="H33" s="27">
        <f>SUM(F33:F$109)</f>
        <v>18233.852337510183</v>
      </c>
      <c r="I33" s="27">
        <f>SUM(G33:G$109)</f>
        <v>1603003.0645820587</v>
      </c>
      <c r="J33" s="27">
        <f>SUM(H33:H$109)</f>
        <v>815820.080262943</v>
      </c>
      <c r="K33" s="27">
        <f>SUM(I33:I$109)</f>
        <v>33581154.639763154</v>
      </c>
      <c r="M33" s="13">
        <f t="shared" si="4"/>
        <v>24</v>
      </c>
      <c r="N33" s="37">
        <v>0.0010898163202022193</v>
      </c>
      <c r="O33" s="37">
        <v>0.00030632285661202907</v>
      </c>
      <c r="P33" s="37"/>
      <c r="Q33" s="37"/>
    </row>
    <row r="34" spans="1:17" ht="12.75">
      <c r="A34">
        <f t="shared" si="7"/>
        <v>25</v>
      </c>
      <c r="B34" s="26">
        <f t="shared" si="5"/>
        <v>0.0010218088617732768</v>
      </c>
      <c r="C34">
        <f t="shared" si="8"/>
        <v>0.5527147875260445</v>
      </c>
      <c r="D34" s="1">
        <f t="shared" si="12"/>
        <v>98492.95615488848</v>
      </c>
      <c r="E34" s="27">
        <f t="shared" si="9"/>
        <v>100.64097542131185</v>
      </c>
      <c r="F34" s="27">
        <f t="shared" si="10"/>
        <v>54.322026705472894</v>
      </c>
      <c r="G34" s="27">
        <f t="shared" si="11"/>
        <v>54438.51333396121</v>
      </c>
      <c r="H34" s="27">
        <f>SUM(F34:F$109)</f>
        <v>18174.459630089437</v>
      </c>
      <c r="I34" s="27">
        <f>SUM(G34:G$109)</f>
        <v>1547197.2087956835</v>
      </c>
      <c r="J34" s="27">
        <f>SUM(H34:H$109)</f>
        <v>797586.2279254328</v>
      </c>
      <c r="K34" s="27">
        <f>SUM(I34:I$109)</f>
        <v>31978151.575181104</v>
      </c>
      <c r="M34" s="13">
        <f t="shared" si="4"/>
        <v>25</v>
      </c>
      <c r="N34" s="37">
        <v>0.0010218088617732768</v>
      </c>
      <c r="O34" s="37">
        <v>0.00032036983584593504</v>
      </c>
      <c r="P34" s="37"/>
      <c r="Q34" s="37"/>
    </row>
    <row r="35" spans="1:17" ht="12.75">
      <c r="A35">
        <f t="shared" si="7"/>
        <v>26</v>
      </c>
      <c r="B35" s="26">
        <f t="shared" si="5"/>
        <v>0.0009840021268465726</v>
      </c>
      <c r="C35">
        <f t="shared" si="8"/>
        <v>0.5397605346934028</v>
      </c>
      <c r="D35" s="1">
        <f t="shared" si="12"/>
        <v>98392.31517946717</v>
      </c>
      <c r="E35" s="27">
        <f t="shared" si="9"/>
        <v>96.81824740195401</v>
      </c>
      <c r="F35" s="27">
        <f t="shared" si="10"/>
        <v>51.03385643140317</v>
      </c>
      <c r="G35" s="27">
        <f t="shared" si="11"/>
        <v>53108.28865099101</v>
      </c>
      <c r="H35" s="27">
        <f>SUM(F35:F$109)</f>
        <v>18120.137603383962</v>
      </c>
      <c r="I35" s="27">
        <f>SUM(G35:G$109)</f>
        <v>1492758.6954617226</v>
      </c>
      <c r="J35" s="27">
        <f>SUM(H35:H$109)</f>
        <v>779411.7682953433</v>
      </c>
      <c r="K35" s="27">
        <f>SUM(I35:I$109)</f>
        <v>30430954.366385423</v>
      </c>
      <c r="M35" s="13">
        <f t="shared" si="4"/>
        <v>26</v>
      </c>
      <c r="N35" s="37">
        <v>0.0009840021268465726</v>
      </c>
      <c r="O35" s="37">
        <v>0.0003139387455139975</v>
      </c>
      <c r="P35" s="37"/>
      <c r="Q35" s="37"/>
    </row>
    <row r="36" spans="1:17" ht="12.75">
      <c r="A36">
        <f t="shared" si="7"/>
        <v>27</v>
      </c>
      <c r="B36" s="26">
        <f t="shared" si="5"/>
        <v>0.0009449513469509396</v>
      </c>
      <c r="C36">
        <f t="shared" si="8"/>
        <v>0.5271098971615261</v>
      </c>
      <c r="D36" s="1">
        <f t="shared" si="12"/>
        <v>98295.49693206522</v>
      </c>
      <c r="E36" s="27">
        <f t="shared" si="9"/>
        <v>92.88446222516698</v>
      </c>
      <c r="F36" s="27">
        <f t="shared" si="10"/>
        <v>47.81281184708148</v>
      </c>
      <c r="G36" s="27">
        <f t="shared" si="11"/>
        <v>51812.529279302005</v>
      </c>
      <c r="H36" s="27">
        <f>SUM(F36:F$109)</f>
        <v>18069.103746952558</v>
      </c>
      <c r="I36" s="27">
        <f>SUM(G36:G$109)</f>
        <v>1439650.4068107316</v>
      </c>
      <c r="J36" s="27">
        <f>SUM(H36:H$109)</f>
        <v>761291.6306919594</v>
      </c>
      <c r="K36" s="27">
        <f>SUM(I36:I$109)</f>
        <v>28938195.670923702</v>
      </c>
      <c r="M36" s="13">
        <f t="shared" si="4"/>
        <v>27</v>
      </c>
      <c r="N36" s="37">
        <v>0.0009449513469509396</v>
      </c>
      <c r="O36" s="37">
        <v>0.00030889828852542767</v>
      </c>
      <c r="P36" s="37"/>
      <c r="Q36" s="37"/>
    </row>
    <row r="37" spans="1:17" ht="12.75">
      <c r="A37">
        <f t="shared" si="7"/>
        <v>28</v>
      </c>
      <c r="B37" s="26">
        <f t="shared" si="5"/>
        <v>0.0010412125336550782</v>
      </c>
      <c r="C37">
        <f t="shared" si="8"/>
        <v>0.5147557589468029</v>
      </c>
      <c r="D37" s="1">
        <f t="shared" si="12"/>
        <v>98202.61246984005</v>
      </c>
      <c r="E37" s="27">
        <f t="shared" si="9"/>
        <v>102.24979094126994</v>
      </c>
      <c r="F37" s="27">
        <f t="shared" si="10"/>
        <v>51.40006712707552</v>
      </c>
      <c r="G37" s="27">
        <f t="shared" si="11"/>
        <v>50550.36031247129</v>
      </c>
      <c r="H37" s="27">
        <f>SUM(F37:F$109)</f>
        <v>18021.290935105477</v>
      </c>
      <c r="I37" s="27">
        <f>SUM(G37:G$109)</f>
        <v>1387837.8775314293</v>
      </c>
      <c r="J37" s="27">
        <f>SUM(H37:H$109)</f>
        <v>743222.5269450069</v>
      </c>
      <c r="K37" s="27">
        <f>SUM(I37:I$109)</f>
        <v>27498545.26411297</v>
      </c>
      <c r="M37" s="13">
        <f t="shared" si="4"/>
        <v>28</v>
      </c>
      <c r="N37" s="37">
        <v>0.0010412125336550782</v>
      </c>
      <c r="O37" s="37">
        <v>0.00032201430699474454</v>
      </c>
      <c r="P37" s="37"/>
      <c r="Q37" s="37"/>
    </row>
    <row r="38" spans="1:17" ht="12.75">
      <c r="A38">
        <f t="shared" si="7"/>
        <v>29</v>
      </c>
      <c r="B38" s="26">
        <f t="shared" si="5"/>
        <v>0.0010674164161762478</v>
      </c>
      <c r="C38">
        <f t="shared" si="8"/>
        <v>0.5026911708464872</v>
      </c>
      <c r="D38" s="1">
        <f t="shared" si="12"/>
        <v>98100.36267889879</v>
      </c>
      <c r="E38" s="27">
        <f t="shared" si="9"/>
        <v>104.71393755630028</v>
      </c>
      <c r="F38" s="27">
        <f t="shared" si="10"/>
        <v>51.40505065832279</v>
      </c>
      <c r="G38" s="27">
        <f t="shared" si="11"/>
        <v>49314.18617552066</v>
      </c>
      <c r="H38" s="27">
        <f>SUM(F38:F$109)</f>
        <v>17969.890867978404</v>
      </c>
      <c r="I38" s="27">
        <f>SUM(G38:G$109)</f>
        <v>1337287.5172189586</v>
      </c>
      <c r="J38" s="27">
        <f>SUM(H38:H$109)</f>
        <v>725201.2360099015</v>
      </c>
      <c r="K38" s="27">
        <f>SUM(I38:I$109)</f>
        <v>26110707.386581548</v>
      </c>
      <c r="M38" s="13">
        <f t="shared" si="4"/>
        <v>29</v>
      </c>
      <c r="N38" s="37">
        <v>0.0010674164161762478</v>
      </c>
      <c r="O38" s="37">
        <v>0.00030297303725645985</v>
      </c>
      <c r="P38" s="37"/>
      <c r="Q38" s="37"/>
    </row>
    <row r="39" spans="1:17" ht="12.75">
      <c r="A39">
        <f t="shared" si="7"/>
        <v>30</v>
      </c>
      <c r="B39" s="26">
        <f t="shared" si="5"/>
        <v>0.0011023875010334194</v>
      </c>
      <c r="C39">
        <f t="shared" si="8"/>
        <v>0.4909093465297727</v>
      </c>
      <c r="D39" s="1">
        <f t="shared" si="12"/>
        <v>97995.64874134249</v>
      </c>
      <c r="E39" s="27">
        <f t="shared" si="9"/>
        <v>108.0291783281173</v>
      </c>
      <c r="F39" s="27">
        <f t="shared" si="10"/>
        <v>51.78958333906674</v>
      </c>
      <c r="G39" s="27">
        <f t="shared" si="11"/>
        <v>48106.979886373585</v>
      </c>
      <c r="H39" s="27">
        <f>SUM(F39:F$109)</f>
        <v>17918.48581732008</v>
      </c>
      <c r="I39" s="27">
        <f>SUM(G39:G$109)</f>
        <v>1287973.3310434376</v>
      </c>
      <c r="J39" s="27">
        <f>SUM(H39:H$109)</f>
        <v>707231.345141923</v>
      </c>
      <c r="K39" s="27">
        <f>SUM(I39:I$109)</f>
        <v>24773419.86936259</v>
      </c>
      <c r="M39" s="13">
        <f t="shared" si="4"/>
        <v>30</v>
      </c>
      <c r="N39" s="37">
        <v>0.0011023875010334194</v>
      </c>
      <c r="O39" s="37">
        <v>0.0002925529760431367</v>
      </c>
      <c r="P39" s="37"/>
      <c r="Q39" s="37"/>
    </row>
    <row r="40" spans="1:17" ht="12.75">
      <c r="A40">
        <f t="shared" si="7"/>
        <v>31</v>
      </c>
      <c r="B40" s="26">
        <f t="shared" si="5"/>
        <v>0.0011719207267764098</v>
      </c>
      <c r="C40">
        <f t="shared" si="8"/>
        <v>0.4794036587204811</v>
      </c>
      <c r="D40" s="1">
        <f t="shared" si="12"/>
        <v>97887.61956301438</v>
      </c>
      <c r="E40" s="27">
        <f t="shared" si="9"/>
        <v>114.71653026070052</v>
      </c>
      <c r="F40" s="27">
        <f t="shared" si="10"/>
        <v>53.70656672138537</v>
      </c>
      <c r="G40" s="27">
        <f t="shared" si="11"/>
        <v>46927.682961947634</v>
      </c>
      <c r="H40" s="27">
        <f>SUM(F40:F$109)</f>
        <v>17866.696233981012</v>
      </c>
      <c r="I40" s="27">
        <f>SUM(G40:G$109)</f>
        <v>1239866.351157064</v>
      </c>
      <c r="J40" s="27">
        <f>SUM(H40:H$109)</f>
        <v>689312.8593246029</v>
      </c>
      <c r="K40" s="27">
        <f>SUM(I40:I$109)</f>
        <v>23485446.53831915</v>
      </c>
      <c r="M40" s="13">
        <f t="shared" si="4"/>
        <v>31</v>
      </c>
      <c r="N40" s="37">
        <v>0.0011719207267764098</v>
      </c>
      <c r="O40" s="37">
        <v>0.0003500147458674885</v>
      </c>
      <c r="P40" s="37"/>
      <c r="Q40" s="37"/>
    </row>
    <row r="41" spans="1:17" ht="12.75">
      <c r="A41">
        <f t="shared" si="7"/>
        <v>32</v>
      </c>
      <c r="B41" s="26">
        <f t="shared" si="5"/>
        <v>0.00128740014715778</v>
      </c>
      <c r="C41">
        <f t="shared" si="8"/>
        <v>0.46816763546921986</v>
      </c>
      <c r="D41" s="1">
        <f t="shared" si="12"/>
        <v>97772.90303275367</v>
      </c>
      <c r="E41" s="27">
        <f t="shared" si="9"/>
        <v>125.87284975241045</v>
      </c>
      <c r="F41" s="27">
        <f t="shared" si="10"/>
        <v>57.54843206870935</v>
      </c>
      <c r="G41" s="27">
        <f t="shared" si="11"/>
        <v>45774.108825805604</v>
      </c>
      <c r="H41" s="27">
        <f>SUM(F41:F$109)</f>
        <v>17812.989667259626</v>
      </c>
      <c r="I41" s="27">
        <f>SUM(G41:G$109)</f>
        <v>1192938.6681951163</v>
      </c>
      <c r="J41" s="27">
        <f>SUM(H41:H$109)</f>
        <v>671446.163090622</v>
      </c>
      <c r="K41" s="27">
        <f>SUM(I41:I$109)</f>
        <v>22245580.187162086</v>
      </c>
      <c r="M41" s="13">
        <f t="shared" si="4"/>
        <v>32</v>
      </c>
      <c r="N41" s="37">
        <v>0.00128740014715778</v>
      </c>
      <c r="O41" s="37">
        <v>0.00047900600086925316</v>
      </c>
      <c r="P41" s="37"/>
      <c r="Q41" s="37"/>
    </row>
    <row r="42" spans="1:17" ht="12.75">
      <c r="A42">
        <f t="shared" si="7"/>
        <v>33</v>
      </c>
      <c r="B42" s="26">
        <f t="shared" si="5"/>
        <v>0.0012834862720030316</v>
      </c>
      <c r="C42">
        <f t="shared" si="8"/>
        <v>0.45719495651291003</v>
      </c>
      <c r="D42" s="1">
        <f t="shared" si="12"/>
        <v>97647.03018300126</v>
      </c>
      <c r="E42" s="27">
        <f t="shared" si="9"/>
        <v>125.3286227417478</v>
      </c>
      <c r="F42" s="27">
        <f t="shared" si="10"/>
        <v>55.95665451585575</v>
      </c>
      <c r="G42" s="27">
        <f t="shared" si="11"/>
        <v>44643.729718132076</v>
      </c>
      <c r="H42" s="27">
        <f>SUM(F42:F$109)</f>
        <v>17755.44123519092</v>
      </c>
      <c r="I42" s="27">
        <f>SUM(G42:G$109)</f>
        <v>1147164.5593693107</v>
      </c>
      <c r="J42" s="27">
        <f>SUM(H42:H$109)</f>
        <v>653633.1734233624</v>
      </c>
      <c r="K42" s="27">
        <f>SUM(I42:I$109)</f>
        <v>21052641.518966977</v>
      </c>
      <c r="M42" s="13">
        <f t="shared" si="4"/>
        <v>33</v>
      </c>
      <c r="N42" s="37">
        <v>0.0012834862720030316</v>
      </c>
      <c r="O42" s="37">
        <v>0.0005673159770649416</v>
      </c>
      <c r="P42" s="37"/>
      <c r="Q42" s="37"/>
    </row>
    <row r="43" spans="1:17" ht="12.75">
      <c r="A43">
        <f t="shared" si="7"/>
        <v>34</v>
      </c>
      <c r="B43" s="26">
        <f t="shared" si="5"/>
        <v>0.0014539059476806893</v>
      </c>
      <c r="C43">
        <f t="shared" si="8"/>
        <v>0.4464794497196387</v>
      </c>
      <c r="D43" s="1">
        <f t="shared" si="12"/>
        <v>97521.70156025952</v>
      </c>
      <c r="E43" s="27">
        <f t="shared" si="9"/>
        <v>141.78738192640247</v>
      </c>
      <c r="F43" s="27">
        <f t="shared" si="10"/>
        <v>61.82143775360198</v>
      </c>
      <c r="G43" s="27">
        <f t="shared" si="11"/>
        <v>43541.435648347506</v>
      </c>
      <c r="H43" s="27">
        <f>SUM(F43:F$109)</f>
        <v>17699.484580675064</v>
      </c>
      <c r="I43" s="27">
        <f>SUM(G43:G$109)</f>
        <v>1102520.829651179</v>
      </c>
      <c r="J43" s="27">
        <f>SUM(H43:H$109)</f>
        <v>635877.7321881716</v>
      </c>
      <c r="K43" s="27">
        <f>SUM(I43:I$109)</f>
        <v>19905476.959597662</v>
      </c>
      <c r="M43" s="13">
        <f t="shared" si="4"/>
        <v>34</v>
      </c>
      <c r="N43" s="37">
        <v>0.0014539059476806893</v>
      </c>
      <c r="O43" s="37">
        <v>0.0006479754697462647</v>
      </c>
      <c r="P43" s="37"/>
      <c r="Q43" s="37"/>
    </row>
    <row r="44" spans="1:17" ht="12.75">
      <c r="A44">
        <f t="shared" si="7"/>
        <v>35</v>
      </c>
      <c r="B44" s="26">
        <f t="shared" si="5"/>
        <v>0.0014909264966165292</v>
      </c>
      <c r="C44">
        <f t="shared" si="8"/>
        <v>0.43601508761683466</v>
      </c>
      <c r="D44" s="1">
        <f t="shared" si="12"/>
        <v>97379.91417833311</v>
      </c>
      <c r="E44" s="27">
        <f t="shared" si="9"/>
        <v>145.18629428672048</v>
      </c>
      <c r="F44" s="27">
        <f t="shared" si="10"/>
        <v>61.81974103924607</v>
      </c>
      <c r="G44" s="27">
        <f t="shared" si="11"/>
        <v>42459.111812585754</v>
      </c>
      <c r="H44" s="27">
        <f>SUM(F44:F$109)</f>
        <v>17637.66314292146</v>
      </c>
      <c r="I44" s="27">
        <f>SUM(G44:G$109)</f>
        <v>1058979.3940028315</v>
      </c>
      <c r="J44" s="27">
        <f>SUM(H44:H$109)</f>
        <v>618178.2476074966</v>
      </c>
      <c r="K44" s="27">
        <f>SUM(I44:I$109)</f>
        <v>18802956.129946485</v>
      </c>
      <c r="M44" s="13">
        <f t="shared" si="4"/>
        <v>35</v>
      </c>
      <c r="N44" s="37">
        <v>0.0014909264966165292</v>
      </c>
      <c r="O44" s="37">
        <v>0.0007498151266256414</v>
      </c>
      <c r="P44" s="37"/>
      <c r="Q44" s="37"/>
    </row>
    <row r="45" spans="1:17" ht="12.75">
      <c r="A45">
        <f t="shared" si="7"/>
        <v>36</v>
      </c>
      <c r="B45" s="26">
        <f t="shared" si="5"/>
        <v>0.0016396488250367547</v>
      </c>
      <c r="C45">
        <f t="shared" si="8"/>
        <v>0.4257959840008151</v>
      </c>
      <c r="D45" s="1">
        <f t="shared" si="12"/>
        <v>97234.7278840464</v>
      </c>
      <c r="E45" s="27">
        <f t="shared" si="9"/>
        <v>159.43080732784526</v>
      </c>
      <c r="F45" s="27">
        <f t="shared" si="10"/>
        <v>66.29394285762132</v>
      </c>
      <c r="G45" s="27">
        <f t="shared" si="11"/>
        <v>41402.15663843903</v>
      </c>
      <c r="H45" s="27">
        <f>SUM(F45:F$109)</f>
        <v>17575.843401882215</v>
      </c>
      <c r="I45" s="27">
        <f>SUM(G45:G$109)</f>
        <v>1016520.2821902451</v>
      </c>
      <c r="J45" s="27">
        <f>SUM(H45:H$109)</f>
        <v>600540.5844645752</v>
      </c>
      <c r="K45" s="27">
        <f>SUM(I45:I$109)</f>
        <v>17743976.735943656</v>
      </c>
      <c r="M45" s="13">
        <f t="shared" si="4"/>
        <v>36</v>
      </c>
      <c r="N45" s="37">
        <v>0.0016396488250367547</v>
      </c>
      <c r="O45" s="37">
        <v>0.000722062074126395</v>
      </c>
      <c r="P45" s="37"/>
      <c r="Q45" s="37"/>
    </row>
    <row r="46" spans="1:17" ht="12.75">
      <c r="A46">
        <f t="shared" si="7"/>
        <v>37</v>
      </c>
      <c r="B46" s="26">
        <f t="shared" si="5"/>
        <v>0.0018074474707312493</v>
      </c>
      <c r="C46">
        <f t="shared" si="8"/>
        <v>0.415816390625796</v>
      </c>
      <c r="D46" s="1">
        <f t="shared" si="12"/>
        <v>97075.29707671855</v>
      </c>
      <c r="E46" s="27">
        <f t="shared" si="9"/>
        <v>175.45850017179959</v>
      </c>
      <c r="F46" s="27">
        <f t="shared" si="10"/>
        <v>71.24855492778643</v>
      </c>
      <c r="G46" s="27">
        <f t="shared" si="11"/>
        <v>40365.499649367994</v>
      </c>
      <c r="H46" s="27">
        <f>SUM(F46:F$109)</f>
        <v>17509.549459024594</v>
      </c>
      <c r="I46" s="27">
        <f>SUM(G46:G$109)</f>
        <v>975118.1255518063</v>
      </c>
      <c r="J46" s="27">
        <f>SUM(H46:H$109)</f>
        <v>582964.741062693</v>
      </c>
      <c r="K46" s="27">
        <f>SUM(I46:I$109)</f>
        <v>16727456.453753412</v>
      </c>
      <c r="M46" s="13">
        <f t="shared" si="4"/>
        <v>37</v>
      </c>
      <c r="N46" s="37">
        <v>0.0018074474707312493</v>
      </c>
      <c r="O46" s="37">
        <v>0.0007587817087412185</v>
      </c>
      <c r="P46" s="37"/>
      <c r="Q46" s="37"/>
    </row>
    <row r="47" spans="1:17" ht="12.75">
      <c r="A47">
        <f t="shared" si="7"/>
        <v>38</v>
      </c>
      <c r="B47" s="26">
        <f t="shared" si="5"/>
        <v>0.0019452113057618625</v>
      </c>
      <c r="C47">
        <f t="shared" si="8"/>
        <v>0.4060706939705039</v>
      </c>
      <c r="D47" s="1">
        <f t="shared" si="12"/>
        <v>96899.83857654675</v>
      </c>
      <c r="E47" s="27">
        <f t="shared" si="9"/>
        <v>188.4906615255982</v>
      </c>
      <c r="F47" s="27">
        <f t="shared" si="10"/>
        <v>74.74661497329983</v>
      </c>
      <c r="G47" s="27">
        <f t="shared" si="11"/>
        <v>39348.18469640814</v>
      </c>
      <c r="H47" s="27">
        <f>SUM(F47:F$109)</f>
        <v>17438.300904096806</v>
      </c>
      <c r="I47" s="27">
        <f>SUM(G47:G$109)</f>
        <v>934752.6259024381</v>
      </c>
      <c r="J47" s="27">
        <f>SUM(H47:H$109)</f>
        <v>565455.1916036683</v>
      </c>
      <c r="K47" s="27">
        <f>SUM(I47:I$109)</f>
        <v>15752338.328201607</v>
      </c>
      <c r="M47" s="13">
        <f t="shared" si="4"/>
        <v>38</v>
      </c>
      <c r="N47" s="37">
        <v>0.0019452113057618625</v>
      </c>
      <c r="O47" s="37">
        <v>0.0008235927583121194</v>
      </c>
      <c r="P47" s="37"/>
      <c r="Q47" s="37"/>
    </row>
    <row r="48" spans="1:17" ht="12.75">
      <c r="A48">
        <f t="shared" si="7"/>
        <v>39</v>
      </c>
      <c r="B48" s="26">
        <f t="shared" si="5"/>
        <v>0.002084363483967011</v>
      </c>
      <c r="C48">
        <f t="shared" si="8"/>
        <v>0.3965534120805702</v>
      </c>
      <c r="D48" s="1">
        <f t="shared" si="12"/>
        <v>96711.34791502115</v>
      </c>
      <c r="E48" s="27">
        <f t="shared" si="9"/>
        <v>201.58160207929922</v>
      </c>
      <c r="F48" s="27">
        <f t="shared" si="10"/>
        <v>78.06432823946666</v>
      </c>
      <c r="G48" s="27">
        <f t="shared" si="11"/>
        <v>38351.21500261278</v>
      </c>
      <c r="H48" s="27">
        <f>SUM(F48:F$109)</f>
        <v>17363.55428912351</v>
      </c>
      <c r="I48" s="27">
        <f>SUM(G48:G$109)</f>
        <v>895404.4412060298</v>
      </c>
      <c r="J48" s="27">
        <f>SUM(H48:H$109)</f>
        <v>548016.8906995713</v>
      </c>
      <c r="K48" s="27">
        <f>SUM(I48:I$109)</f>
        <v>14817585.702299166</v>
      </c>
      <c r="M48" s="13">
        <f t="shared" si="4"/>
        <v>39</v>
      </c>
      <c r="N48" s="37">
        <v>0.002084363483967011</v>
      </c>
      <c r="O48" s="37">
        <v>0.0008353677803276671</v>
      </c>
      <c r="P48" s="37"/>
      <c r="Q48" s="37"/>
    </row>
    <row r="49" spans="1:17" ht="12.75">
      <c r="A49">
        <f t="shared" si="7"/>
        <v>40</v>
      </c>
      <c r="B49" s="26">
        <f t="shared" si="5"/>
        <v>0.002360382105797365</v>
      </c>
      <c r="C49">
        <f t="shared" si="8"/>
        <v>0.3872591914849318</v>
      </c>
      <c r="D49" s="1">
        <f t="shared" si="12"/>
        <v>96509.76631294185</v>
      </c>
      <c r="E49" s="27">
        <f t="shared" si="9"/>
        <v>227.79992543975328</v>
      </c>
      <c r="F49" s="27">
        <f t="shared" si="10"/>
        <v>86.15001459582678</v>
      </c>
      <c r="G49" s="27">
        <f t="shared" si="11"/>
        <v>37374.29407274957</v>
      </c>
      <c r="H49" s="27">
        <f>SUM(F49:F$109)</f>
        <v>17285.489960884042</v>
      </c>
      <c r="I49" s="27">
        <f>SUM(G49:G$109)</f>
        <v>857053.2262034172</v>
      </c>
      <c r="J49" s="27">
        <f>SUM(H49:H$109)</f>
        <v>530653.336410448</v>
      </c>
      <c r="K49" s="27">
        <f>SUM(I49:I$109)</f>
        <v>13922181.26109314</v>
      </c>
      <c r="M49" s="13">
        <f t="shared" si="4"/>
        <v>40</v>
      </c>
      <c r="N49" s="37">
        <v>0.002360382105797365</v>
      </c>
      <c r="O49" s="37">
        <v>0.0009445768315143876</v>
      </c>
      <c r="P49" s="37"/>
      <c r="Q49" s="37"/>
    </row>
    <row r="50" spans="1:17" ht="12.75">
      <c r="A50">
        <f t="shared" si="7"/>
        <v>41</v>
      </c>
      <c r="B50" s="26">
        <f t="shared" si="5"/>
        <v>0.002610347693567938</v>
      </c>
      <c r="C50">
        <f t="shared" si="8"/>
        <v>0.3781828041845038</v>
      </c>
      <c r="D50" s="1">
        <f t="shared" si="12"/>
        <v>96281.96638750209</v>
      </c>
      <c r="E50" s="27">
        <f t="shared" si="9"/>
        <v>251.32940889180185</v>
      </c>
      <c r="F50" s="27">
        <f t="shared" si="10"/>
        <v>92.8207623327494</v>
      </c>
      <c r="G50" s="27">
        <f t="shared" si="11"/>
        <v>36412.18404082368</v>
      </c>
      <c r="H50" s="27">
        <f>SUM(F50:F$109)</f>
        <v>17199.339946288215</v>
      </c>
      <c r="I50" s="27">
        <f>SUM(G50:G$109)</f>
        <v>819678.9321306675</v>
      </c>
      <c r="J50" s="27">
        <f>SUM(H50:H$109)</f>
        <v>513367.84644956415</v>
      </c>
      <c r="K50" s="27">
        <f>SUM(I50:I$109)</f>
        <v>13065128.03488972</v>
      </c>
      <c r="M50" s="13">
        <f t="shared" si="4"/>
        <v>41</v>
      </c>
      <c r="N50" s="37">
        <v>0.002610347693567938</v>
      </c>
      <c r="O50" s="37">
        <v>0.0011650924580794975</v>
      </c>
      <c r="P50" s="37"/>
      <c r="Q50" s="37"/>
    </row>
    <row r="51" spans="1:17" ht="12.75">
      <c r="A51">
        <f t="shared" si="7"/>
        <v>42</v>
      </c>
      <c r="B51" s="26">
        <f t="shared" si="5"/>
        <v>0.0028282513969949408</v>
      </c>
      <c r="C51">
        <f t="shared" si="8"/>
        <v>0.36931914471142946</v>
      </c>
      <c r="D51" s="1">
        <f t="shared" si="12"/>
        <v>96030.63697861029</v>
      </c>
      <c r="E51" s="27">
        <f t="shared" si="9"/>
        <v>271.59878318906857</v>
      </c>
      <c r="F51" s="27">
        <f t="shared" si="10"/>
        <v>97.95569366411304</v>
      </c>
      <c r="G51" s="27">
        <f t="shared" si="11"/>
        <v>35465.952715034124</v>
      </c>
      <c r="H51" s="27">
        <f>SUM(F51:F$109)</f>
        <v>17106.519183955465</v>
      </c>
      <c r="I51" s="27">
        <f>SUM(G51:G$109)</f>
        <v>783266.7480898439</v>
      </c>
      <c r="J51" s="27">
        <f>SUM(H51:H$109)</f>
        <v>496168.50650327594</v>
      </c>
      <c r="K51" s="27">
        <f>SUM(I51:I$109)</f>
        <v>12245449.102759052</v>
      </c>
      <c r="M51" s="13">
        <f t="shared" si="4"/>
        <v>42</v>
      </c>
      <c r="N51" s="37">
        <v>0.0028282513969949408</v>
      </c>
      <c r="O51" s="37">
        <v>0.0012995054009304896</v>
      </c>
      <c r="P51" s="37"/>
      <c r="Q51" s="37"/>
    </row>
    <row r="52" spans="1:17" ht="12.75">
      <c r="A52">
        <f t="shared" si="7"/>
        <v>43</v>
      </c>
      <c r="B52" s="26">
        <f t="shared" si="5"/>
        <v>0.0029873078002157216</v>
      </c>
      <c r="C52">
        <f t="shared" si="8"/>
        <v>0.3606632272572553</v>
      </c>
      <c r="D52" s="1">
        <f t="shared" si="12"/>
        <v>95759.03819542122</v>
      </c>
      <c r="E52" s="27">
        <f t="shared" si="9"/>
        <v>286.06172174233706</v>
      </c>
      <c r="F52" s="27">
        <f t="shared" si="10"/>
        <v>100.75385132652174</v>
      </c>
      <c r="G52" s="27">
        <f t="shared" si="11"/>
        <v>34536.76375461139</v>
      </c>
      <c r="H52" s="27">
        <f>SUM(F52:F$109)</f>
        <v>17008.56349029135</v>
      </c>
      <c r="I52" s="27">
        <f>SUM(G52:G$109)</f>
        <v>747800.7953748098</v>
      </c>
      <c r="J52" s="27">
        <f>SUM(H52:H$109)</f>
        <v>479061.98731932044</v>
      </c>
      <c r="K52" s="27">
        <f>SUM(I52:I$109)</f>
        <v>11462182.354669206</v>
      </c>
      <c r="M52" s="13">
        <f t="shared" si="4"/>
        <v>43</v>
      </c>
      <c r="N52" s="37">
        <v>0.0029873078002157216</v>
      </c>
      <c r="O52" s="37">
        <v>0.0015178996237193987</v>
      </c>
      <c r="P52" s="37"/>
      <c r="Q52" s="37"/>
    </row>
    <row r="53" spans="1:17" ht="12.75">
      <c r="A53">
        <f t="shared" si="7"/>
        <v>44</v>
      </c>
      <c r="B53" s="26">
        <f t="shared" si="5"/>
        <v>0.0032775140328502594</v>
      </c>
      <c r="C53">
        <f t="shared" si="8"/>
        <v>0.35221018286841344</v>
      </c>
      <c r="D53" s="1">
        <f t="shared" si="12"/>
        <v>95472.97647367888</v>
      </c>
      <c r="E53" s="27">
        <f t="shared" si="9"/>
        <v>312.9140201504652</v>
      </c>
      <c r="F53" s="27">
        <f t="shared" si="10"/>
        <v>107.62842212820873</v>
      </c>
      <c r="G53" s="27">
        <f t="shared" si="11"/>
        <v>33626.55450278617</v>
      </c>
      <c r="H53" s="27">
        <f>SUM(F53:F$109)</f>
        <v>16907.80963896483</v>
      </c>
      <c r="I53" s="27">
        <f>SUM(G53:G$109)</f>
        <v>713264.0316201984</v>
      </c>
      <c r="J53" s="27">
        <f>SUM(H53:H$109)</f>
        <v>462053.42382902914</v>
      </c>
      <c r="K53" s="27">
        <f>SUM(I53:I$109)</f>
        <v>10714381.559294395</v>
      </c>
      <c r="M53" s="13">
        <f t="shared" si="4"/>
        <v>44</v>
      </c>
      <c r="N53" s="37">
        <v>0.0032775140328502594</v>
      </c>
      <c r="O53" s="37">
        <v>0.0016210725515699576</v>
      </c>
      <c r="P53" s="37"/>
      <c r="Q53" s="37"/>
    </row>
    <row r="54" spans="1:17" ht="12.75">
      <c r="A54">
        <f t="shared" si="7"/>
        <v>45</v>
      </c>
      <c r="B54" s="26">
        <f t="shared" si="5"/>
        <v>0.003995849402304352</v>
      </c>
      <c r="C54">
        <f t="shared" si="8"/>
        <v>0.34395525670743493</v>
      </c>
      <c r="D54" s="1">
        <f t="shared" si="12"/>
        <v>95160.06245352842</v>
      </c>
      <c r="E54" s="27">
        <f t="shared" si="9"/>
        <v>380.24527867817636</v>
      </c>
      <c r="F54" s="27">
        <f t="shared" si="10"/>
        <v>127.72203363236552</v>
      </c>
      <c r="G54" s="27">
        <f t="shared" si="11"/>
        <v>32730.803709498905</v>
      </c>
      <c r="H54" s="27">
        <f>SUM(F54:F$109)</f>
        <v>16800.18121683662</v>
      </c>
      <c r="I54" s="27">
        <f>SUM(G54:G$109)</f>
        <v>679637.4771174123</v>
      </c>
      <c r="J54" s="27">
        <f>SUM(H54:H$109)</f>
        <v>445145.6141900643</v>
      </c>
      <c r="K54" s="27">
        <f>SUM(I54:I$109)</f>
        <v>10001117.527674198</v>
      </c>
      <c r="M54" s="13">
        <f t="shared" si="4"/>
        <v>45</v>
      </c>
      <c r="N54" s="37">
        <v>0.003995849402304352</v>
      </c>
      <c r="O54" s="37">
        <v>0.0017672518991859176</v>
      </c>
      <c r="P54" s="37"/>
      <c r="Q54" s="37"/>
    </row>
    <row r="55" spans="1:17" ht="12.75">
      <c r="A55">
        <f t="shared" si="7"/>
        <v>46</v>
      </c>
      <c r="B55" s="26">
        <f t="shared" si="5"/>
        <v>0.0046308902325153944</v>
      </c>
      <c r="C55">
        <f aca="true" t="shared" si="13" ref="C55:C86">$C$6^A55</f>
        <v>0.33589380537835445</v>
      </c>
      <c r="D55" s="1">
        <f t="shared" si="12"/>
        <v>94779.81717485024</v>
      </c>
      <c r="E55" s="27">
        <f t="shared" si="9"/>
        <v>438.9149295946088</v>
      </c>
      <c r="F55" s="27">
        <f t="shared" si="10"/>
        <v>143.97344329971256</v>
      </c>
      <c r="G55" s="27">
        <f t="shared" si="11"/>
        <v>31835.95346392516</v>
      </c>
      <c r="H55" s="27">
        <f>SUM(F55:F$109)</f>
        <v>16672.459183204253</v>
      </c>
      <c r="I55" s="27">
        <f>SUM(G55:G$109)</f>
        <v>646906.6734079134</v>
      </c>
      <c r="J55" s="27">
        <f>SUM(H55:H$109)</f>
        <v>428345.43297322764</v>
      </c>
      <c r="K55" s="27">
        <f>SUM(I55:I$109)</f>
        <v>9321480.050556786</v>
      </c>
      <c r="M55" s="13">
        <f t="shared" si="4"/>
        <v>46</v>
      </c>
      <c r="N55" s="37">
        <v>0.0046308902325153944</v>
      </c>
      <c r="O55" s="37">
        <v>0.002015551585945352</v>
      </c>
      <c r="P55" s="37"/>
      <c r="Q55" s="37"/>
    </row>
    <row r="56" spans="1:17" ht="12.75">
      <c r="A56">
        <f t="shared" si="7"/>
        <v>47</v>
      </c>
      <c r="B56" s="26">
        <f t="shared" si="5"/>
        <v>0.005306818255897516</v>
      </c>
      <c r="C56">
        <f t="shared" si="13"/>
        <v>0.32802129431479926</v>
      </c>
      <c r="D56" s="1">
        <f t="shared" si="12"/>
        <v>94340.90224525562</v>
      </c>
      <c r="E56" s="27">
        <f t="shared" si="9"/>
        <v>500.6500223129655</v>
      </c>
      <c r="F56" s="27">
        <f t="shared" si="10"/>
        <v>160.3748714041329</v>
      </c>
      <c r="G56" s="27">
        <f t="shared" si="11"/>
        <v>30945.8248613147</v>
      </c>
      <c r="H56" s="27">
        <f>SUM(F56:F$109)</f>
        <v>16528.48573990454</v>
      </c>
      <c r="I56" s="27">
        <f>SUM(G56:G$109)</f>
        <v>615070.7199439881</v>
      </c>
      <c r="J56" s="27">
        <f>SUM(H56:H$109)</f>
        <v>411672.9737900234</v>
      </c>
      <c r="K56" s="27">
        <f>SUM(I56:I$109)</f>
        <v>8674573.37714887</v>
      </c>
      <c r="M56" s="13">
        <f t="shared" si="4"/>
        <v>47</v>
      </c>
      <c r="N56" s="37">
        <v>0.005306818255897516</v>
      </c>
      <c r="O56" s="37">
        <v>0.0022417333375882587</v>
      </c>
      <c r="P56" s="37"/>
      <c r="Q56" s="37"/>
    </row>
    <row r="57" spans="1:17" ht="12.75">
      <c r="A57">
        <f t="shared" si="7"/>
        <v>48</v>
      </c>
      <c r="B57" s="26">
        <f t="shared" si="5"/>
        <v>0.0056434765109171225</v>
      </c>
      <c r="C57">
        <f t="shared" si="13"/>
        <v>0.32033329522929616</v>
      </c>
      <c r="D57" s="1">
        <f t="shared" si="12"/>
        <v>93840.25222294265</v>
      </c>
      <c r="E57" s="27">
        <f t="shared" si="9"/>
        <v>529.5852591987151</v>
      </c>
      <c r="F57" s="27">
        <f t="shared" si="10"/>
        <v>165.66776482811068</v>
      </c>
      <c r="G57" s="27">
        <f t="shared" si="11"/>
        <v>30060.157219723504</v>
      </c>
      <c r="H57" s="27">
        <f>SUM(F57:F$109)</f>
        <v>16368.110868500407</v>
      </c>
      <c r="I57" s="27">
        <f>SUM(G57:G$109)</f>
        <v>584124.8950826733</v>
      </c>
      <c r="J57" s="27">
        <f>SUM(H57:H$109)</f>
        <v>395144.48805011885</v>
      </c>
      <c r="K57" s="27">
        <f>SUM(I57:I$109)</f>
        <v>8059502.657204884</v>
      </c>
      <c r="M57" s="13">
        <f t="shared" si="4"/>
        <v>48</v>
      </c>
      <c r="N57" s="37">
        <v>0.0056434765109171225</v>
      </c>
      <c r="O57" s="37">
        <v>0.0025446827277688655</v>
      </c>
      <c r="P57" s="37"/>
      <c r="Q57" s="37"/>
    </row>
    <row r="58" spans="1:17" ht="12.75">
      <c r="A58">
        <f t="shared" si="7"/>
        <v>49</v>
      </c>
      <c r="B58" s="26">
        <f t="shared" si="5"/>
        <v>0.006122665657883775</v>
      </c>
      <c r="C58">
        <f t="shared" si="13"/>
        <v>0.3128254836223595</v>
      </c>
      <c r="D58" s="1">
        <f t="shared" si="12"/>
        <v>93310.66696374393</v>
      </c>
      <c r="E58" s="27">
        <f t="shared" si="9"/>
        <v>571.310016133145</v>
      </c>
      <c r="F58" s="27">
        <f t="shared" si="10"/>
        <v>174.5315743116691</v>
      </c>
      <c r="G58" s="27">
        <f t="shared" si="11"/>
        <v>29189.95452005812</v>
      </c>
      <c r="H58" s="27">
        <f>SUM(F58:F$109)</f>
        <v>16202.443103672298</v>
      </c>
      <c r="I58" s="27">
        <f>SUM(G58:G$109)</f>
        <v>554064.7378629498</v>
      </c>
      <c r="J58" s="27">
        <f>SUM(H58:H$109)</f>
        <v>378776.3771816185</v>
      </c>
      <c r="K58" s="27">
        <f>SUM(I58:I$109)</f>
        <v>7475377.762122211</v>
      </c>
      <c r="M58" s="13">
        <f t="shared" si="4"/>
        <v>49</v>
      </c>
      <c r="N58" s="37">
        <v>0.006122665657883775</v>
      </c>
      <c r="O58" s="37">
        <v>0.0028537602526503836</v>
      </c>
      <c r="P58" s="37"/>
      <c r="Q58" s="37"/>
    </row>
    <row r="59" spans="1:17" ht="12.75">
      <c r="A59">
        <f t="shared" si="7"/>
        <v>50</v>
      </c>
      <c r="B59" s="26">
        <f t="shared" si="5"/>
        <v>0.006849409351221913</v>
      </c>
      <c r="C59">
        <f t="shared" si="13"/>
        <v>0.3054936363499605</v>
      </c>
      <c r="D59" s="1">
        <f t="shared" si="12"/>
        <v>92739.3569476108</v>
      </c>
      <c r="E59" s="27">
        <f t="shared" si="9"/>
        <v>635.2098187032723</v>
      </c>
      <c r="F59" s="27">
        <f t="shared" si="10"/>
        <v>189.50445054771663</v>
      </c>
      <c r="G59" s="27">
        <f t="shared" si="11"/>
        <v>28331.283386682597</v>
      </c>
      <c r="H59" s="27">
        <f>SUM(F59:F$109)</f>
        <v>16027.911529360628</v>
      </c>
      <c r="I59" s="27">
        <f>SUM(G59:G$109)</f>
        <v>524874.783342892</v>
      </c>
      <c r="J59" s="27">
        <f>SUM(H59:H$109)</f>
        <v>362573.9340779461</v>
      </c>
      <c r="K59" s="27">
        <f>SUM(I59:I$109)</f>
        <v>6921313.024259261</v>
      </c>
      <c r="M59" s="13">
        <f t="shared" si="4"/>
        <v>50</v>
      </c>
      <c r="N59" s="37">
        <v>0.006849409351221913</v>
      </c>
      <c r="O59" s="37">
        <v>0.0031473023965801206</v>
      </c>
      <c r="P59" s="37"/>
      <c r="Q59" s="37"/>
    </row>
    <row r="60" spans="1:17" ht="12.75">
      <c r="A60">
        <f t="shared" si="7"/>
        <v>51</v>
      </c>
      <c r="B60" s="26">
        <f t="shared" si="5"/>
        <v>0.007910080936601172</v>
      </c>
      <c r="C60">
        <f t="shared" si="13"/>
        <v>0.2983336292480083</v>
      </c>
      <c r="D60" s="1">
        <f t="shared" si="12"/>
        <v>92104.14712890753</v>
      </c>
      <c r="E60" s="27">
        <f t="shared" si="9"/>
        <v>728.551258386281</v>
      </c>
      <c r="F60" s="27">
        <f t="shared" si="10"/>
        <v>212.25716895271745</v>
      </c>
      <c r="G60" s="27">
        <f t="shared" si="11"/>
        <v>27477.76448175951</v>
      </c>
      <c r="H60" s="27">
        <f>SUM(F60:F$109)</f>
        <v>15838.407078812912</v>
      </c>
      <c r="I60" s="27">
        <f>SUM(G60:G$109)</f>
        <v>496543.4999562094</v>
      </c>
      <c r="J60" s="27">
        <f>SUM(H60:H$109)</f>
        <v>346546.0225485855</v>
      </c>
      <c r="K60" s="27">
        <f>SUM(I60:I$109)</f>
        <v>6396438.240916369</v>
      </c>
      <c r="M60" s="13">
        <f t="shared" si="4"/>
        <v>51</v>
      </c>
      <c r="N60" s="37">
        <v>0.007910080936601172</v>
      </c>
      <c r="O60" s="37">
        <v>0.0032794758763802223</v>
      </c>
      <c r="P60" s="37"/>
      <c r="Q60" s="37"/>
    </row>
    <row r="61" spans="1:17" ht="12.75">
      <c r="A61">
        <f t="shared" si="7"/>
        <v>52</v>
      </c>
      <c r="B61" s="26">
        <f t="shared" si="5"/>
        <v>0.008792097184972647</v>
      </c>
      <c r="C61">
        <f t="shared" si="13"/>
        <v>0.2913414348125081</v>
      </c>
      <c r="D61" s="1">
        <f t="shared" si="12"/>
        <v>91375.59587052124</v>
      </c>
      <c r="E61" s="27">
        <f t="shared" si="9"/>
        <v>803.3831192284081</v>
      </c>
      <c r="F61" s="27">
        <f t="shared" si="10"/>
        <v>228.57303775405535</v>
      </c>
      <c r="G61" s="27">
        <f t="shared" si="11"/>
        <v>26621.49720776555</v>
      </c>
      <c r="H61" s="27">
        <f>SUM(F61:F$109)</f>
        <v>15626.149909860194</v>
      </c>
      <c r="I61" s="27">
        <f>SUM(G61:G$109)</f>
        <v>469065.7354744499</v>
      </c>
      <c r="J61" s="27">
        <f>SUM(H61:H$109)</f>
        <v>330707.61546977254</v>
      </c>
      <c r="K61" s="27">
        <f>SUM(I61:I$109)</f>
        <v>5899894.74096016</v>
      </c>
      <c r="M61" s="13">
        <f t="shared" si="4"/>
        <v>52</v>
      </c>
      <c r="N61" s="37">
        <v>0.008792097184972647</v>
      </c>
      <c r="O61" s="37">
        <v>0.0035700458203942187</v>
      </c>
      <c r="P61" s="37"/>
      <c r="Q61" s="37"/>
    </row>
    <row r="62" spans="1:17" ht="12.75">
      <c r="A62">
        <f t="shared" si="7"/>
        <v>53</v>
      </c>
      <c r="B62" s="26">
        <f t="shared" si="5"/>
        <v>0.009821467637900039</v>
      </c>
      <c r="C62">
        <f t="shared" si="13"/>
        <v>0.28451311993408995</v>
      </c>
      <c r="D62" s="1">
        <f t="shared" si="12"/>
        <v>90572.21275129283</v>
      </c>
      <c r="E62" s="27">
        <f t="shared" si="9"/>
        <v>889.5520564298197</v>
      </c>
      <c r="F62" s="27">
        <f t="shared" si="10"/>
        <v>247.15745206897816</v>
      </c>
      <c r="G62" s="27">
        <f t="shared" si="11"/>
        <v>25768.982829204488</v>
      </c>
      <c r="H62" s="27">
        <f>SUM(F62:F$109)</f>
        <v>15397.576872106138</v>
      </c>
      <c r="I62" s="27">
        <f>SUM(G62:G$109)</f>
        <v>442444.23826668435</v>
      </c>
      <c r="J62" s="27">
        <f>SUM(H62:H$109)</f>
        <v>315081.4655599124</v>
      </c>
      <c r="K62" s="27">
        <f>SUM(I62:I$109)</f>
        <v>5430829.00548571</v>
      </c>
      <c r="M62" s="13">
        <f t="shared" si="4"/>
        <v>53</v>
      </c>
      <c r="N62" s="37">
        <v>0.009821467637900039</v>
      </c>
      <c r="O62" s="37">
        <v>0.0038728743542326693</v>
      </c>
      <c r="P62" s="37"/>
      <c r="Q62" s="37"/>
    </row>
    <row r="63" spans="1:17" ht="12.75">
      <c r="A63">
        <f t="shared" si="7"/>
        <v>54</v>
      </c>
      <c r="B63" s="26">
        <f t="shared" si="5"/>
        <v>0.010554576647437197</v>
      </c>
      <c r="C63">
        <f t="shared" si="13"/>
        <v>0.2778448436856347</v>
      </c>
      <c r="D63" s="1">
        <f t="shared" si="12"/>
        <v>89682.660694863</v>
      </c>
      <c r="E63" s="27">
        <f t="shared" si="9"/>
        <v>946.5625162500348</v>
      </c>
      <c r="F63" s="27">
        <f t="shared" si="10"/>
        <v>256.83351012321486</v>
      </c>
      <c r="G63" s="27">
        <f t="shared" si="11"/>
        <v>24917.86484207603</v>
      </c>
      <c r="H63" s="27">
        <f>SUM(F63:F$109)</f>
        <v>15150.41942003716</v>
      </c>
      <c r="I63" s="27">
        <f>SUM(G63:G$109)</f>
        <v>416675.2554374799</v>
      </c>
      <c r="J63" s="27">
        <f>SUM(H63:H$109)</f>
        <v>299683.88868780626</v>
      </c>
      <c r="K63" s="27">
        <f>SUM(I63:I$109)</f>
        <v>4988384.767219027</v>
      </c>
      <c r="M63" s="13">
        <f t="shared" si="4"/>
        <v>54</v>
      </c>
      <c r="N63" s="37">
        <v>0.010554576647437197</v>
      </c>
      <c r="O63" s="37">
        <v>0.004367923928959128</v>
      </c>
      <c r="P63" s="37"/>
      <c r="Q63" s="37"/>
    </row>
    <row r="64" spans="1:17" ht="12.75">
      <c r="A64">
        <f t="shared" si="7"/>
        <v>55</v>
      </c>
      <c r="B64" s="26">
        <f t="shared" si="5"/>
        <v>0.011443795083814101</v>
      </c>
      <c r="C64">
        <f t="shared" si="13"/>
        <v>0.27133285516175265</v>
      </c>
      <c r="D64" s="1">
        <f t="shared" si="12"/>
        <v>88736.09817861297</v>
      </c>
      <c r="E64" s="27">
        <f t="shared" si="9"/>
        <v>1015.4777240932565</v>
      </c>
      <c r="F64" s="27">
        <f t="shared" si="10"/>
        <v>269.0746779603337</v>
      </c>
      <c r="G64" s="27">
        <f t="shared" si="11"/>
        <v>24077.018874716658</v>
      </c>
      <c r="H64" s="27">
        <f>SUM(F64:F$109)</f>
        <v>14893.585909913945</v>
      </c>
      <c r="I64" s="27">
        <f>SUM(G64:G$109)</f>
        <v>391757.39059540385</v>
      </c>
      <c r="J64" s="27">
        <f>SUM(H64:H$109)</f>
        <v>284533.4692677692</v>
      </c>
      <c r="K64" s="27">
        <f>SUM(I64:I$109)</f>
        <v>4571709.511781546</v>
      </c>
      <c r="M64" s="13">
        <f t="shared" si="4"/>
        <v>55</v>
      </c>
      <c r="N64" s="37">
        <v>0.011443795083814101</v>
      </c>
      <c r="O64" s="37">
        <v>0.004766027580062615</v>
      </c>
      <c r="P64" s="37"/>
      <c r="Q64" s="37"/>
    </row>
    <row r="65" spans="1:17" ht="12.75">
      <c r="A65">
        <f t="shared" si="7"/>
        <v>56</v>
      </c>
      <c r="B65" s="26">
        <f t="shared" si="5"/>
        <v>0.012443465985871871</v>
      </c>
      <c r="C65">
        <f t="shared" si="13"/>
        <v>0.26497349136889903</v>
      </c>
      <c r="D65" s="1">
        <f t="shared" si="12"/>
        <v>87720.62045451971</v>
      </c>
      <c r="E65" s="27">
        <f t="shared" si="9"/>
        <v>1091.5485568853924</v>
      </c>
      <c r="F65" s="27">
        <f t="shared" si="10"/>
        <v>282.4525704263728</v>
      </c>
      <c r="G65" s="27">
        <f t="shared" si="11"/>
        <v>23243.639066880147</v>
      </c>
      <c r="H65" s="27">
        <f>SUM(F65:F$109)</f>
        <v>14624.511231953613</v>
      </c>
      <c r="I65" s="27">
        <f>SUM(G65:G$109)</f>
        <v>367680.3717206872</v>
      </c>
      <c r="J65" s="27">
        <f>SUM(H65:H$109)</f>
        <v>269639.88335785526</v>
      </c>
      <c r="K65" s="27">
        <f>SUM(I65:I$109)</f>
        <v>4179952.1211861437</v>
      </c>
      <c r="M65" s="13">
        <f t="shared" si="4"/>
        <v>56</v>
      </c>
      <c r="N65" s="37">
        <v>0.012443465985871871</v>
      </c>
      <c r="O65" s="37">
        <v>0.005447372484534974</v>
      </c>
      <c r="P65" s="37"/>
      <c r="Q65" s="37"/>
    </row>
    <row r="66" spans="1:17" ht="12.75">
      <c r="A66">
        <f t="shared" si="7"/>
        <v>57</v>
      </c>
      <c r="B66" s="26">
        <f t="shared" si="5"/>
        <v>0.013825797858205036</v>
      </c>
      <c r="C66">
        <f t="shared" si="13"/>
        <v>0.2587631751649405</v>
      </c>
      <c r="D66" s="1">
        <f t="shared" si="12"/>
        <v>86629.07189763432</v>
      </c>
      <c r="E66" s="27">
        <f t="shared" si="9"/>
        <v>1197.7160367006027</v>
      </c>
      <c r="F66" s="27">
        <f t="shared" si="10"/>
        <v>302.66094199474253</v>
      </c>
      <c r="G66" s="27">
        <f t="shared" si="11"/>
        <v>22416.413705823776</v>
      </c>
      <c r="H66" s="27">
        <f>SUM(F66:F$109)</f>
        <v>14342.058661527239</v>
      </c>
      <c r="I66" s="27">
        <f>SUM(G66:G$109)</f>
        <v>344436.7326538071</v>
      </c>
      <c r="J66" s="27">
        <f>SUM(H66:H$109)</f>
        <v>255015.37212590163</v>
      </c>
      <c r="K66" s="27">
        <f>SUM(I66:I$109)</f>
        <v>3812271.7494654567</v>
      </c>
      <c r="M66" s="13">
        <f t="shared" si="4"/>
        <v>57</v>
      </c>
      <c r="N66" s="37">
        <v>0.013825797858205036</v>
      </c>
      <c r="O66" s="37">
        <v>0.006032218695677494</v>
      </c>
      <c r="P66" s="37"/>
      <c r="Q66" s="37"/>
    </row>
    <row r="67" spans="1:17" ht="12.75">
      <c r="A67">
        <f t="shared" si="7"/>
        <v>58</v>
      </c>
      <c r="B67" s="26">
        <f t="shared" si="5"/>
        <v>0.015348503948217407</v>
      </c>
      <c r="C67">
        <f t="shared" si="13"/>
        <v>0.2526984132470122</v>
      </c>
      <c r="D67" s="1">
        <f t="shared" si="12"/>
        <v>85431.35586093372</v>
      </c>
      <c r="E67" s="27">
        <f t="shared" si="9"/>
        <v>1311.2435027331076</v>
      </c>
      <c r="F67" s="27">
        <f t="shared" si="10"/>
        <v>323.583156758897</v>
      </c>
      <c r="G67" s="27">
        <f t="shared" si="11"/>
        <v>21588.368067598785</v>
      </c>
      <c r="H67" s="27">
        <f>SUM(F67:F$109)</f>
        <v>14039.397719532497</v>
      </c>
      <c r="I67" s="27">
        <f>SUM(G67:G$109)</f>
        <v>322020.3189479834</v>
      </c>
      <c r="J67" s="27">
        <f>SUM(H67:H$109)</f>
        <v>240673.31346437437</v>
      </c>
      <c r="K67" s="27">
        <f>SUM(I67:I$109)</f>
        <v>3467835.0168116493</v>
      </c>
      <c r="M67" s="13">
        <f t="shared" si="4"/>
        <v>58</v>
      </c>
      <c r="N67" s="37">
        <v>0.015348503948217407</v>
      </c>
      <c r="O67" s="37">
        <v>0.00667427471544868</v>
      </c>
      <c r="P67" s="37"/>
      <c r="Q67" s="37"/>
    </row>
    <row r="68" spans="1:17" ht="12.75">
      <c r="A68">
        <f t="shared" si="7"/>
        <v>59</v>
      </c>
      <c r="B68" s="26">
        <f t="shared" si="5"/>
        <v>0.016774313021757803</v>
      </c>
      <c r="C68">
        <f t="shared" si="13"/>
        <v>0.24677579418653534</v>
      </c>
      <c r="D68" s="1">
        <f t="shared" si="12"/>
        <v>84120.11235820061</v>
      </c>
      <c r="E68" s="27">
        <f t="shared" si="9"/>
        <v>1411.057096121894</v>
      </c>
      <c r="F68" s="27">
        <f t="shared" si="10"/>
        <v>340.0534526738542</v>
      </c>
      <c r="G68" s="27">
        <f t="shared" si="11"/>
        <v>20758.807534255542</v>
      </c>
      <c r="H68" s="27">
        <f>SUM(F68:F$109)</f>
        <v>13715.8145627736</v>
      </c>
      <c r="I68" s="27">
        <f>SUM(G68:G$109)</f>
        <v>300431.9508803846</v>
      </c>
      <c r="J68" s="27">
        <f>SUM(H68:H$109)</f>
        <v>226633.91574484188</v>
      </c>
      <c r="K68" s="27">
        <f>SUM(I68:I$109)</f>
        <v>3145814.6978636663</v>
      </c>
      <c r="M68" s="13">
        <f t="shared" si="4"/>
        <v>59</v>
      </c>
      <c r="N68" s="37">
        <v>0.016774313021757803</v>
      </c>
      <c r="O68" s="37">
        <v>0.007355104645597854</v>
      </c>
      <c r="P68" s="37"/>
      <c r="Q68" s="37"/>
    </row>
    <row r="69" spans="1:17" ht="12.75">
      <c r="A69">
        <f t="shared" si="7"/>
        <v>60</v>
      </c>
      <c r="B69" s="26">
        <f t="shared" si="5"/>
        <v>0.018152137048176864</v>
      </c>
      <c r="C69">
        <f t="shared" si="13"/>
        <v>0.24099198651028844</v>
      </c>
      <c r="D69" s="1">
        <f t="shared" si="12"/>
        <v>82709.05526207872</v>
      </c>
      <c r="E69" s="27">
        <f t="shared" si="9"/>
        <v>1501.3461062424867</v>
      </c>
      <c r="F69" s="27">
        <f t="shared" si="10"/>
        <v>353.33240291295255</v>
      </c>
      <c r="G69" s="27">
        <f t="shared" si="11"/>
        <v>19932.219529997576</v>
      </c>
      <c r="H69" s="27">
        <f>SUM(F69:F$109)</f>
        <v>13375.761110099746</v>
      </c>
      <c r="I69" s="27">
        <f>SUM(G69:G$109)</f>
        <v>279673.14334612904</v>
      </c>
      <c r="J69" s="27">
        <f>SUM(H69:H$109)</f>
        <v>212918.1011820683</v>
      </c>
      <c r="K69" s="27">
        <f>SUM(I69:I$109)</f>
        <v>2845382.7469832813</v>
      </c>
      <c r="M69" s="13">
        <f t="shared" si="4"/>
        <v>60</v>
      </c>
      <c r="N69" s="37">
        <v>0.018152137048176864</v>
      </c>
      <c r="O69" s="37">
        <v>0.0077599529719509786</v>
      </c>
      <c r="P69" s="37"/>
      <c r="Q69" s="37"/>
    </row>
    <row r="70" spans="1:17" ht="12.75">
      <c r="A70">
        <f t="shared" si="7"/>
        <v>61</v>
      </c>
      <c r="B70" s="26">
        <f t="shared" si="5"/>
        <v>0.019671315604072204</v>
      </c>
      <c r="C70">
        <f t="shared" si="13"/>
        <v>0.23534373682645354</v>
      </c>
      <c r="D70" s="1">
        <f t="shared" si="12"/>
        <v>81207.70915583623</v>
      </c>
      <c r="E70" s="27">
        <f t="shared" si="9"/>
        <v>1597.4624762881583</v>
      </c>
      <c r="F70" s="27">
        <f t="shared" si="10"/>
        <v>367.14139512665537</v>
      </c>
      <c r="G70" s="27">
        <f t="shared" si="11"/>
        <v>19111.725731850303</v>
      </c>
      <c r="H70" s="27">
        <f>SUM(F70:F$109)</f>
        <v>13022.428707186793</v>
      </c>
      <c r="I70" s="27">
        <f>SUM(G70:G$109)</f>
        <v>259740.9238161314</v>
      </c>
      <c r="J70" s="27">
        <f>SUM(H70:H$109)</f>
        <v>199542.34007196856</v>
      </c>
      <c r="K70" s="27">
        <f>SUM(I70:I$109)</f>
        <v>2565709.6036371524</v>
      </c>
      <c r="M70" s="13">
        <f t="shared" si="4"/>
        <v>61</v>
      </c>
      <c r="N70" s="37">
        <v>0.019671315604072204</v>
      </c>
      <c r="O70" s="37">
        <v>0.008250633421940212</v>
      </c>
      <c r="P70" s="37"/>
      <c r="Q70" s="37"/>
    </row>
    <row r="71" spans="1:17" ht="12.75">
      <c r="A71">
        <f t="shared" si="7"/>
        <v>62</v>
      </c>
      <c r="B71" s="26">
        <f t="shared" si="5"/>
        <v>0.02075327352709666</v>
      </c>
      <c r="C71">
        <f t="shared" si="13"/>
        <v>0.22982786799458355</v>
      </c>
      <c r="D71" s="1">
        <f t="shared" si="12"/>
        <v>79610.24667954807</v>
      </c>
      <c r="E71" s="27">
        <f t="shared" si="9"/>
        <v>1652.1732249002998</v>
      </c>
      <c r="F71" s="27">
        <f t="shared" si="10"/>
        <v>370.8158689810268</v>
      </c>
      <c r="G71" s="27">
        <f t="shared" si="11"/>
        <v>18296.653264883407</v>
      </c>
      <c r="H71" s="27">
        <f>SUM(F71:F$109)</f>
        <v>12655.287312060138</v>
      </c>
      <c r="I71" s="27">
        <f>SUM(G71:G$109)</f>
        <v>240629.1980842811</v>
      </c>
      <c r="J71" s="27">
        <f>SUM(H71:H$109)</f>
        <v>186519.91136478176</v>
      </c>
      <c r="K71" s="27">
        <f>SUM(I71:I$109)</f>
        <v>2305968.679821021</v>
      </c>
      <c r="M71" s="13">
        <f t="shared" si="4"/>
        <v>62</v>
      </c>
      <c r="N71" s="37">
        <v>0.02075327352709666</v>
      </c>
      <c r="O71" s="37">
        <v>0.00918716477859638</v>
      </c>
      <c r="P71" s="37"/>
      <c r="Q71" s="37"/>
    </row>
    <row r="72" spans="1:17" ht="12.75">
      <c r="A72">
        <f t="shared" si="7"/>
        <v>63</v>
      </c>
      <c r="B72" s="26">
        <f t="shared" si="5"/>
        <v>0.021891338150767714</v>
      </c>
      <c r="C72">
        <f t="shared" si="13"/>
        <v>0.22444127733846048</v>
      </c>
      <c r="D72" s="1">
        <f t="shared" si="12"/>
        <v>77958.07345464778</v>
      </c>
      <c r="E72" s="27">
        <f t="shared" si="9"/>
        <v>1706.6065475780827</v>
      </c>
      <c r="F72" s="27">
        <f t="shared" si="10"/>
        <v>374.05561860605957</v>
      </c>
      <c r="G72" s="27">
        <f t="shared" si="11"/>
        <v>17497.009585006675</v>
      </c>
      <c r="H72" s="27">
        <f>SUM(F72:F$109)</f>
        <v>12284.471443079112</v>
      </c>
      <c r="I72" s="27">
        <f>SUM(G72:G$109)</f>
        <v>222332.54481939765</v>
      </c>
      <c r="J72" s="27">
        <f>SUM(H72:H$109)</f>
        <v>173864.62405272163</v>
      </c>
      <c r="K72" s="27">
        <f>SUM(I72:I$109)</f>
        <v>2065339.48173674</v>
      </c>
      <c r="M72" s="13">
        <f t="shared" si="4"/>
        <v>63</v>
      </c>
      <c r="N72" s="37">
        <v>0.021891338150767714</v>
      </c>
      <c r="O72" s="37">
        <v>0.010045880338128699</v>
      </c>
      <c r="P72" s="37"/>
      <c r="Q72" s="37"/>
    </row>
    <row r="73" spans="1:17" ht="12.75">
      <c r="A73">
        <f t="shared" si="7"/>
        <v>64</v>
      </c>
      <c r="B73" s="26">
        <f t="shared" si="5"/>
        <v>0.024024721098692692</v>
      </c>
      <c r="C73">
        <f t="shared" si="13"/>
        <v>0.2191809349008403</v>
      </c>
      <c r="D73" s="1">
        <f t="shared" si="12"/>
        <v>76251.4669070697</v>
      </c>
      <c r="E73" s="27">
        <f t="shared" si="9"/>
        <v>1831.920225808545</v>
      </c>
      <c r="F73" s="27">
        <f t="shared" si="10"/>
        <v>392.11131616843295</v>
      </c>
      <c r="G73" s="27">
        <f t="shared" si="11"/>
        <v>16712.867804252022</v>
      </c>
      <c r="H73" s="27">
        <f>SUM(F73:F$109)</f>
        <v>11910.415824473052</v>
      </c>
      <c r="I73" s="27">
        <f>SUM(G73:G$109)</f>
        <v>204835.53523439096</v>
      </c>
      <c r="J73" s="27">
        <f>SUM(H73:H$109)</f>
        <v>161580.15260964254</v>
      </c>
      <c r="K73" s="27">
        <f>SUM(I73:I$109)</f>
        <v>1843006.9369173427</v>
      </c>
      <c r="M73" s="13">
        <f aca="true" t="shared" si="14" ref="M73:M112">A73</f>
        <v>64</v>
      </c>
      <c r="N73" s="37">
        <v>0.024024721098692692</v>
      </c>
      <c r="O73" s="37">
        <v>0.010991284605202156</v>
      </c>
      <c r="P73" s="37"/>
      <c r="Q73" s="37"/>
    </row>
    <row r="74" spans="1:17" ht="12.75">
      <c r="A74">
        <f t="shared" si="7"/>
        <v>65</v>
      </c>
      <c r="B74" s="26">
        <f aca="true" t="shared" si="15" ref="B74:B109">IF($B$4="Muž",N74,O74)*$C$2</f>
        <v>0.026493334177534522</v>
      </c>
      <c r="C74">
        <f t="shared" si="13"/>
        <v>0.21404388173910185</v>
      </c>
      <c r="D74" s="1">
        <f t="shared" si="12"/>
        <v>74419.54668126116</v>
      </c>
      <c r="E74" s="27">
        <f t="shared" si="9"/>
        <v>1971.621919567282</v>
      </c>
      <c r="F74" s="27">
        <f t="shared" si="10"/>
        <v>412.1226650254691</v>
      </c>
      <c r="G74" s="27">
        <f t="shared" si="11"/>
        <v>15929.048648921433</v>
      </c>
      <c r="H74" s="27">
        <f>SUM(F74:F$109)</f>
        <v>11518.304508304618</v>
      </c>
      <c r="I74" s="27">
        <f>SUM(G74:G$109)</f>
        <v>188122.66743013894</v>
      </c>
      <c r="J74" s="27">
        <f>SUM(H74:H$109)</f>
        <v>149669.73678516943</v>
      </c>
      <c r="K74" s="27">
        <f>SUM(I74:I$109)</f>
        <v>1638171.4016829517</v>
      </c>
      <c r="M74" s="13">
        <f t="shared" si="14"/>
        <v>65</v>
      </c>
      <c r="N74" s="37">
        <v>0.026493334177534522</v>
      </c>
      <c r="O74" s="37">
        <v>0.012048186714042175</v>
      </c>
      <c r="P74" s="37"/>
      <c r="Q74" s="37"/>
    </row>
    <row r="75" spans="1:17" ht="12.75">
      <c r="A75">
        <f aca="true" t="shared" si="16" ref="A75:A112">A74+1</f>
        <v>66</v>
      </c>
      <c r="B75" s="26">
        <f t="shared" si="15"/>
        <v>0.02922212915423661</v>
      </c>
      <c r="C75">
        <f t="shared" si="13"/>
        <v>0.20902722826084166</v>
      </c>
      <c r="D75" s="1">
        <f t="shared" si="12"/>
        <v>72447.92476169387</v>
      </c>
      <c r="E75" s="27">
        <f t="shared" si="9"/>
        <v>2117.0826143426348</v>
      </c>
      <c r="F75" s="27">
        <f t="shared" si="10"/>
        <v>432.1561629641185</v>
      </c>
      <c r="G75" s="27">
        <f t="shared" si="11"/>
        <v>15143.588906186867</v>
      </c>
      <c r="H75" s="27">
        <f>SUM(F75:F$109)</f>
        <v>11106.18184327915</v>
      </c>
      <c r="I75" s="27">
        <f>SUM(G75:G$109)</f>
        <v>172193.61878121752</v>
      </c>
      <c r="J75" s="27">
        <f>SUM(H75:H$109)</f>
        <v>138151.43227686483</v>
      </c>
      <c r="K75" s="27">
        <f>SUM(I75:I$109)</f>
        <v>1450048.7342528126</v>
      </c>
      <c r="M75" s="13">
        <f t="shared" si="14"/>
        <v>66</v>
      </c>
      <c r="N75" s="37">
        <v>0.02922212915423661</v>
      </c>
      <c r="O75" s="37">
        <v>0.013095176007003717</v>
      </c>
      <c r="P75" s="37"/>
      <c r="Q75" s="37"/>
    </row>
    <row r="76" spans="1:17" ht="12.75">
      <c r="A76">
        <f t="shared" si="16"/>
        <v>67</v>
      </c>
      <c r="B76" s="26">
        <f t="shared" si="15"/>
        <v>0.031887900205862296</v>
      </c>
      <c r="C76">
        <f t="shared" si="13"/>
        <v>0.2041281525984782</v>
      </c>
      <c r="D76" s="1">
        <f t="shared" si="12"/>
        <v>70330.84214735123</v>
      </c>
      <c r="E76" s="27">
        <f t="shared" si="9"/>
        <v>2242.70287578899</v>
      </c>
      <c r="F76" s="27">
        <f t="shared" si="10"/>
        <v>447.06913560752025</v>
      </c>
      <c r="G76" s="27">
        <f t="shared" si="11"/>
        <v>14356.504878233993</v>
      </c>
      <c r="H76" s="27">
        <f>SUM(F76:F$109)</f>
        <v>10674.025680315031</v>
      </c>
      <c r="I76" s="27">
        <f>SUM(G76:G$109)</f>
        <v>157050.02987503062</v>
      </c>
      <c r="J76" s="27">
        <f>SUM(H76:H$109)</f>
        <v>127045.25043358568</v>
      </c>
      <c r="K76" s="27">
        <f>SUM(I76:I$109)</f>
        <v>1277855.115471595</v>
      </c>
      <c r="M76" s="13">
        <f t="shared" si="14"/>
        <v>67</v>
      </c>
      <c r="N76" s="37">
        <v>0.031887900205862296</v>
      </c>
      <c r="O76" s="37">
        <v>0.014788517288084058</v>
      </c>
      <c r="P76" s="37"/>
      <c r="Q76" s="37"/>
    </row>
    <row r="77" spans="1:17" ht="12.75">
      <c r="A77">
        <f t="shared" si="16"/>
        <v>68</v>
      </c>
      <c r="B77" s="26">
        <f t="shared" si="15"/>
        <v>0.03504005899418361</v>
      </c>
      <c r="C77">
        <f t="shared" si="13"/>
        <v>0.19934389902195135</v>
      </c>
      <c r="D77" s="1">
        <f t="shared" si="12"/>
        <v>68088.13927156224</v>
      </c>
      <c r="E77" s="27">
        <f t="shared" si="9"/>
        <v>2385.8124168797303</v>
      </c>
      <c r="F77" s="27">
        <f t="shared" si="10"/>
        <v>464.45034132401435</v>
      </c>
      <c r="G77" s="27">
        <f t="shared" si="11"/>
        <v>13572.955159542862</v>
      </c>
      <c r="H77" s="27">
        <f>SUM(F77:F$109)</f>
        <v>10226.956544707511</v>
      </c>
      <c r="I77" s="27">
        <f>SUM(G77:G$109)</f>
        <v>142693.52499679665</v>
      </c>
      <c r="J77" s="27">
        <f>SUM(H77:H$109)</f>
        <v>116371.22475327064</v>
      </c>
      <c r="K77" s="27">
        <f>SUM(I77:I$109)</f>
        <v>1120805.0855965645</v>
      </c>
      <c r="M77" s="13">
        <f t="shared" si="14"/>
        <v>68</v>
      </c>
      <c r="N77" s="37">
        <v>0.03504005899418361</v>
      </c>
      <c r="O77" s="37">
        <v>0.01641442795929482</v>
      </c>
      <c r="P77" s="37"/>
      <c r="Q77" s="37"/>
    </row>
    <row r="78" spans="1:17" ht="12.75">
      <c r="A78">
        <f t="shared" si="16"/>
        <v>69</v>
      </c>
      <c r="B78" s="26">
        <f t="shared" si="15"/>
        <v>0.037945198008876746</v>
      </c>
      <c r="C78">
        <f t="shared" si="13"/>
        <v>0.19467177638862437</v>
      </c>
      <c r="D78" s="1">
        <f t="shared" si="12"/>
        <v>65702.3268546825</v>
      </c>
      <c r="E78" s="27">
        <f t="shared" si="9"/>
        <v>2493.0878021448675</v>
      </c>
      <c r="F78" s="27">
        <f t="shared" si="10"/>
        <v>473.9588194690944</v>
      </c>
      <c r="G78" s="27">
        <f t="shared" si="11"/>
        <v>12790.388681667062</v>
      </c>
      <c r="H78" s="27">
        <f>SUM(F78:F$109)</f>
        <v>9762.506203383497</v>
      </c>
      <c r="I78" s="27">
        <f>SUM(G78:G$109)</f>
        <v>129120.56983725379</v>
      </c>
      <c r="J78" s="27">
        <f>SUM(H78:H$109)</f>
        <v>106144.26820856311</v>
      </c>
      <c r="K78" s="27">
        <f>SUM(I78:I$109)</f>
        <v>978111.560599768</v>
      </c>
      <c r="M78" s="13">
        <f t="shared" si="14"/>
        <v>69</v>
      </c>
      <c r="N78" s="37">
        <v>0.037945198008876746</v>
      </c>
      <c r="O78" s="37">
        <v>0.018314891899272268</v>
      </c>
      <c r="P78" s="37"/>
      <c r="Q78" s="37"/>
    </row>
    <row r="79" spans="1:17" ht="12.75">
      <c r="A79">
        <f t="shared" si="16"/>
        <v>70</v>
      </c>
      <c r="B79" s="26">
        <f t="shared" si="15"/>
        <v>0.04108816762562639</v>
      </c>
      <c r="C79">
        <f t="shared" si="13"/>
        <v>0.190109156629516</v>
      </c>
      <c r="D79" s="1">
        <f t="shared" si="12"/>
        <v>63209.23905253763</v>
      </c>
      <c r="E79" s="27">
        <f t="shared" si="9"/>
        <v>2597.1518096789564</v>
      </c>
      <c r="F79" s="27">
        <f t="shared" si="10"/>
        <v>482.1702540789918</v>
      </c>
      <c r="G79" s="27">
        <f t="shared" si="11"/>
        <v>12016.655127471397</v>
      </c>
      <c r="H79" s="27">
        <f>SUM(F79:F$109)</f>
        <v>9288.5473839144</v>
      </c>
      <c r="I79" s="27">
        <f>SUM(G79:G$109)</f>
        <v>116330.18115558673</v>
      </c>
      <c r="J79" s="27">
        <f>SUM(H79:H$109)</f>
        <v>96381.76200517961</v>
      </c>
      <c r="K79" s="27">
        <f>SUM(I79:I$109)</f>
        <v>848990.9907625142</v>
      </c>
      <c r="M79" s="13">
        <f t="shared" si="14"/>
        <v>70</v>
      </c>
      <c r="N79" s="37">
        <v>0.04108816762562639</v>
      </c>
      <c r="O79" s="37">
        <v>0.02058247204139907</v>
      </c>
      <c r="P79" s="37"/>
      <c r="Q79" s="37"/>
    </row>
    <row r="80" spans="1:17" ht="12.75">
      <c r="A80">
        <f t="shared" si="16"/>
        <v>71</v>
      </c>
      <c r="B80" s="26">
        <f t="shared" si="15"/>
        <v>0.044237722052279826</v>
      </c>
      <c r="C80">
        <f t="shared" si="13"/>
        <v>0.1856534732710117</v>
      </c>
      <c r="D80" s="1">
        <f t="shared" si="12"/>
        <v>60612.08724285867</v>
      </c>
      <c r="E80" s="27">
        <f t="shared" si="9"/>
        <v>2681.3406684581178</v>
      </c>
      <c r="F80" s="27">
        <f t="shared" si="10"/>
        <v>486.1330157442049</v>
      </c>
      <c r="G80" s="27">
        <f t="shared" si="11"/>
        <v>11252.844518842292</v>
      </c>
      <c r="H80" s="27">
        <f>SUM(F80:F$109)</f>
        <v>8806.37712983541</v>
      </c>
      <c r="I80" s="27">
        <f>SUM(G80:G$109)</f>
        <v>104313.52602811533</v>
      </c>
      <c r="J80" s="27">
        <f>SUM(H80:H$109)</f>
        <v>87093.21462126522</v>
      </c>
      <c r="K80" s="27">
        <f>SUM(I80:I$109)</f>
        <v>732660.8096069273</v>
      </c>
      <c r="M80" s="13">
        <f t="shared" si="14"/>
        <v>71</v>
      </c>
      <c r="N80" s="37">
        <v>0.044237722052279826</v>
      </c>
      <c r="O80" s="37">
        <v>0.023042774143501976</v>
      </c>
      <c r="P80" s="37"/>
      <c r="Q80" s="37"/>
    </row>
    <row r="81" spans="1:17" ht="12.75">
      <c r="A81">
        <f t="shared" si="16"/>
        <v>72</v>
      </c>
      <c r="B81" s="26">
        <f t="shared" si="15"/>
        <v>0.04756996364544819</v>
      </c>
      <c r="C81">
        <f t="shared" si="13"/>
        <v>0.18130221999122237</v>
      </c>
      <c r="D81" s="1">
        <f t="shared" si="12"/>
        <v>57930.74657440055</v>
      </c>
      <c r="E81" s="27">
        <f t="shared" si="9"/>
        <v>2755.7635084979065</v>
      </c>
      <c r="F81" s="27">
        <f t="shared" si="10"/>
        <v>487.91605650534206</v>
      </c>
      <c r="G81" s="27">
        <f t="shared" si="11"/>
        <v>10502.97295968772</v>
      </c>
      <c r="H81" s="27">
        <f>SUM(F81:F$109)</f>
        <v>8320.244114091207</v>
      </c>
      <c r="I81" s="27">
        <f>SUM(G81:G$109)</f>
        <v>93060.68150927304</v>
      </c>
      <c r="J81" s="27">
        <f>SUM(H81:H$109)</f>
        <v>78286.83749142983</v>
      </c>
      <c r="K81" s="27">
        <f>SUM(I81:I$109)</f>
        <v>628347.283578812</v>
      </c>
      <c r="M81" s="13">
        <f t="shared" si="14"/>
        <v>72</v>
      </c>
      <c r="N81" s="37">
        <v>0.04756996364544819</v>
      </c>
      <c r="O81" s="37">
        <v>0.025969667064965396</v>
      </c>
      <c r="P81" s="37"/>
      <c r="Q81" s="37"/>
    </row>
    <row r="82" spans="1:17" ht="12.75">
      <c r="A82">
        <f t="shared" si="16"/>
        <v>73</v>
      </c>
      <c r="B82" s="26">
        <f t="shared" si="15"/>
        <v>0.05098040257972558</v>
      </c>
      <c r="C82">
        <f t="shared" si="13"/>
        <v>0.1770529492101781</v>
      </c>
      <c r="D82" s="1">
        <f t="shared" si="12"/>
        <v>55174.98306590265</v>
      </c>
      <c r="E82" s="27">
        <f t="shared" si="9"/>
        <v>2812.8428490292586</v>
      </c>
      <c r="F82" s="27">
        <f t="shared" si="10"/>
        <v>486.34972859901364</v>
      </c>
      <c r="G82" s="27">
        <f t="shared" si="11"/>
        <v>9768.8934744397</v>
      </c>
      <c r="H82" s="27">
        <f>SUM(F82:F$109)</f>
        <v>7832.328057585864</v>
      </c>
      <c r="I82" s="27">
        <f>SUM(G82:G$109)</f>
        <v>82557.70854958532</v>
      </c>
      <c r="J82" s="27">
        <f>SUM(H82:H$109)</f>
        <v>69966.59337733862</v>
      </c>
      <c r="K82" s="27">
        <f>SUM(I82:I$109)</f>
        <v>535286.6020695389</v>
      </c>
      <c r="M82" s="13">
        <f t="shared" si="14"/>
        <v>73</v>
      </c>
      <c r="N82" s="37">
        <v>0.05098040257972558</v>
      </c>
      <c r="O82" s="37">
        <v>0.029602274875156986</v>
      </c>
      <c r="P82" s="37"/>
      <c r="Q82" s="37"/>
    </row>
    <row r="83" spans="1:17" ht="12.75">
      <c r="A83">
        <f t="shared" si="16"/>
        <v>74</v>
      </c>
      <c r="B83" s="26">
        <f t="shared" si="15"/>
        <v>0.056861717854665095</v>
      </c>
      <c r="C83">
        <f t="shared" si="13"/>
        <v>0.17290327071306455</v>
      </c>
      <c r="D83" s="1">
        <f t="shared" si="12"/>
        <v>52362.14021687339</v>
      </c>
      <c r="E83" s="27">
        <f t="shared" si="9"/>
        <v>2977.401243278267</v>
      </c>
      <c r="F83" s="27">
        <f t="shared" si="10"/>
        <v>502.73673162886433</v>
      </c>
      <c r="G83" s="27">
        <f t="shared" si="11"/>
        <v>9053.585305033504</v>
      </c>
      <c r="H83" s="27">
        <f>SUM(F83:F$109)</f>
        <v>7345.978328986851</v>
      </c>
      <c r="I83" s="27">
        <f>SUM(G83:G$109)</f>
        <v>72788.81507514563</v>
      </c>
      <c r="J83" s="27">
        <f>SUM(H83:H$109)</f>
        <v>62134.26531975273</v>
      </c>
      <c r="K83" s="27">
        <f>SUM(I83:I$109)</f>
        <v>452728.89351995307</v>
      </c>
      <c r="M83" s="13">
        <f t="shared" si="14"/>
        <v>74</v>
      </c>
      <c r="N83" s="37">
        <v>0.056861717854665095</v>
      </c>
      <c r="O83" s="37">
        <v>0.033529924701600544</v>
      </c>
      <c r="P83" s="37"/>
      <c r="Q83" s="37"/>
    </row>
    <row r="84" spans="1:17" ht="12.75">
      <c r="A84">
        <f t="shared" si="16"/>
        <v>75</v>
      </c>
      <c r="B84" s="26">
        <f t="shared" si="15"/>
        <v>0.06308207294597756</v>
      </c>
      <c r="C84">
        <f t="shared" si="13"/>
        <v>0.16885085030572708</v>
      </c>
      <c r="D84" s="1">
        <f t="shared" si="12"/>
        <v>49384.73897359512</v>
      </c>
      <c r="E84" s="27">
        <f t="shared" si="9"/>
        <v>3115.2917063503887</v>
      </c>
      <c r="F84" s="27">
        <f t="shared" si="10"/>
        <v>513.691067937151</v>
      </c>
      <c r="G84" s="27">
        <f t="shared" si="11"/>
        <v>8338.655167817917</v>
      </c>
      <c r="H84" s="27">
        <f>SUM(F84:F$109)</f>
        <v>6843.241597357987</v>
      </c>
      <c r="I84" s="27">
        <f>SUM(G84:G$109)</f>
        <v>63735.22977011213</v>
      </c>
      <c r="J84" s="27">
        <f>SUM(H84:H$109)</f>
        <v>54788.28699076588</v>
      </c>
      <c r="K84" s="27">
        <f>SUM(I84:I$109)</f>
        <v>379940.07844480744</v>
      </c>
      <c r="M84" s="13">
        <f t="shared" si="14"/>
        <v>75</v>
      </c>
      <c r="N84" s="37">
        <v>0.06308207294597756</v>
      </c>
      <c r="O84" s="37">
        <v>0.0378591283110955</v>
      </c>
      <c r="P84" s="37"/>
      <c r="Q84" s="37"/>
    </row>
    <row r="85" spans="1:17" ht="12.75">
      <c r="A85">
        <f t="shared" si="16"/>
        <v>76</v>
      </c>
      <c r="B85" s="26">
        <f t="shared" si="15"/>
        <v>0.06971758076506884</v>
      </c>
      <c r="C85">
        <f t="shared" si="13"/>
        <v>0.16489340850168663</v>
      </c>
      <c r="D85" s="1">
        <f t="shared" si="12"/>
        <v>46269.44726724473</v>
      </c>
      <c r="E85" s="27">
        <f t="shared" si="9"/>
        <v>3225.793926809228</v>
      </c>
      <c r="F85" s="27">
        <f t="shared" si="10"/>
        <v>519.4454645660292</v>
      </c>
      <c r="G85" s="27">
        <f t="shared" si="11"/>
        <v>7629.526869385033</v>
      </c>
      <c r="H85" s="27">
        <f>SUM(F85:F$109)</f>
        <v>6329.550529420836</v>
      </c>
      <c r="I85" s="27">
        <f>SUM(G85:G$109)</f>
        <v>55396.57460229421</v>
      </c>
      <c r="J85" s="27">
        <f>SUM(H85:H$109)</f>
        <v>47945.04539340789</v>
      </c>
      <c r="K85" s="27">
        <f>SUM(I85:I$109)</f>
        <v>316204.8486746953</v>
      </c>
      <c r="M85" s="13">
        <f t="shared" si="14"/>
        <v>76</v>
      </c>
      <c r="N85" s="37">
        <v>0.06971758076506884</v>
      </c>
      <c r="O85" s="37">
        <v>0.04339815543514769</v>
      </c>
      <c r="P85" s="37"/>
      <c r="Q85" s="37"/>
    </row>
    <row r="86" spans="1:17" ht="12.75">
      <c r="A86">
        <f t="shared" si="16"/>
        <v>77</v>
      </c>
      <c r="B86" s="26">
        <f t="shared" si="15"/>
        <v>0.0763093384731679</v>
      </c>
      <c r="C86">
        <f t="shared" si="13"/>
        <v>0.16102871923992834</v>
      </c>
      <c r="D86" s="1">
        <f t="shared" si="12"/>
        <v>43043.6533404355</v>
      </c>
      <c r="E86" s="27">
        <f t="shared" si="9"/>
        <v>3284.6327118769964</v>
      </c>
      <c r="F86" s="27">
        <f t="shared" si="10"/>
        <v>516.5236316085208</v>
      </c>
      <c r="G86" s="27">
        <f t="shared" si="11"/>
        <v>6931.264368817791</v>
      </c>
      <c r="H86" s="27">
        <f>SUM(F86:F$109)</f>
        <v>5810.105064854807</v>
      </c>
      <c r="I86" s="27">
        <f>SUM(G86:G$109)</f>
        <v>47767.04773290918</v>
      </c>
      <c r="J86" s="27">
        <f>SUM(H86:H$109)</f>
        <v>41615.49486398705</v>
      </c>
      <c r="K86" s="27">
        <f>SUM(I86:I$109)</f>
        <v>260808.27407240128</v>
      </c>
      <c r="M86" s="13">
        <f t="shared" si="14"/>
        <v>77</v>
      </c>
      <c r="N86" s="37">
        <v>0.0763093384731679</v>
      </c>
      <c r="O86" s="37">
        <v>0.04855026054799072</v>
      </c>
      <c r="P86" s="37"/>
      <c r="Q86" s="37"/>
    </row>
    <row r="87" spans="1:17" ht="12.75">
      <c r="A87">
        <f t="shared" si="16"/>
        <v>78</v>
      </c>
      <c r="B87" s="26">
        <f t="shared" si="15"/>
        <v>0.0835521774728114</v>
      </c>
      <c r="C87">
        <f aca="true" t="shared" si="17" ref="C87:C110">$C$6^A87</f>
        <v>0.15725460863274252</v>
      </c>
      <c r="D87" s="1">
        <f t="shared" si="12"/>
        <v>39759.0206285585</v>
      </c>
      <c r="E87" s="27">
        <f t="shared" si="9"/>
        <v>3321.9527477024894</v>
      </c>
      <c r="F87" s="27">
        <f t="shared" si="10"/>
        <v>510.148807848065</v>
      </c>
      <c r="G87" s="27">
        <f t="shared" si="11"/>
        <v>6252.289228565103</v>
      </c>
      <c r="H87" s="27">
        <f>SUM(F87:F$109)</f>
        <v>5293.581433246286</v>
      </c>
      <c r="I87" s="27">
        <f>SUM(G87:G$109)</f>
        <v>40835.78336409139</v>
      </c>
      <c r="J87" s="27">
        <f>SUM(H87:H$109)</f>
        <v>35805.38979913225</v>
      </c>
      <c r="K87" s="27">
        <f>SUM(I87:I$109)</f>
        <v>213041.22633949213</v>
      </c>
      <c r="M87" s="13">
        <f t="shared" si="14"/>
        <v>78</v>
      </c>
      <c r="N87" s="37">
        <v>0.0835521774728114</v>
      </c>
      <c r="O87" s="37">
        <v>0.05453024151586883</v>
      </c>
      <c r="P87" s="37"/>
      <c r="Q87" s="37"/>
    </row>
    <row r="88" spans="1:17" ht="12.75">
      <c r="A88">
        <f t="shared" si="16"/>
        <v>79</v>
      </c>
      <c r="B88" s="26">
        <f t="shared" si="15"/>
        <v>0.09166547976112305</v>
      </c>
      <c r="C88">
        <f t="shared" si="17"/>
        <v>0.1535689537429126</v>
      </c>
      <c r="D88" s="1">
        <f t="shared" si="12"/>
        <v>36437.06788085601</v>
      </c>
      <c r="E88" s="27">
        <f aca="true" t="shared" si="18" ref="E88:E108">D88*B88</f>
        <v>3340.021308387273</v>
      </c>
      <c r="F88" s="27">
        <f aca="true" t="shared" si="19" ref="F88:F108">E88*C89</f>
        <v>500.901931453191</v>
      </c>
      <c r="G88" s="27">
        <f aca="true" t="shared" si="20" ref="G88:G108">D88*C88</f>
        <v>5595.602391922544</v>
      </c>
      <c r="H88" s="27">
        <f>SUM(F88:F$109)</f>
        <v>4783.43262539822</v>
      </c>
      <c r="I88" s="27">
        <f>SUM(G88:G$109)</f>
        <v>34583.49413552628</v>
      </c>
      <c r="J88" s="27">
        <f>SUM(H88:H$109)</f>
        <v>30511.808365885965</v>
      </c>
      <c r="K88" s="27">
        <f>SUM(I88:I$109)</f>
        <v>172205.44297540074</v>
      </c>
      <c r="M88" s="13">
        <f t="shared" si="14"/>
        <v>79</v>
      </c>
      <c r="N88" s="37">
        <v>0.09166547976112305</v>
      </c>
      <c r="O88" s="37">
        <v>0.06197935569833446</v>
      </c>
      <c r="P88" s="37"/>
      <c r="Q88" s="37"/>
    </row>
    <row r="89" spans="1:17" ht="12.75">
      <c r="A89">
        <f t="shared" si="16"/>
        <v>80</v>
      </c>
      <c r="B89" s="26">
        <f t="shared" si="15"/>
        <v>0.10078060151206325</v>
      </c>
      <c r="C89">
        <f t="shared" si="17"/>
        <v>0.1499696813895631</v>
      </c>
      <c r="D89" s="1">
        <f aca="true" t="shared" si="21" ref="D89:D108">D88-E88</f>
        <v>33097.04657246874</v>
      </c>
      <c r="E89" s="27">
        <f t="shared" si="18"/>
        <v>3335.540261846171</v>
      </c>
      <c r="F89" s="27">
        <f t="shared" si="19"/>
        <v>488.5057718077443</v>
      </c>
      <c r="G89" s="27">
        <f t="shared" si="20"/>
        <v>4963.553529408668</v>
      </c>
      <c r="H89" s="27">
        <f>SUM(F89:F$109)</f>
        <v>4282.530693945029</v>
      </c>
      <c r="I89" s="27">
        <f>SUM(G89:G$109)</f>
        <v>28987.89174360375</v>
      </c>
      <c r="J89" s="27">
        <f>SUM(H89:H$109)</f>
        <v>25728.375740487743</v>
      </c>
      <c r="K89" s="27">
        <f>SUM(I89:I$109)</f>
        <v>137621.9488398744</v>
      </c>
      <c r="M89" s="13">
        <f t="shared" si="14"/>
        <v>80</v>
      </c>
      <c r="N89" s="37">
        <v>0.10078060151206325</v>
      </c>
      <c r="O89" s="37">
        <v>0.0700262889582135</v>
      </c>
      <c r="P89" s="37"/>
      <c r="Q89" s="37"/>
    </row>
    <row r="90" spans="1:17" ht="12.75">
      <c r="A90">
        <f t="shared" si="16"/>
        <v>81</v>
      </c>
      <c r="B90" s="26">
        <f t="shared" si="15"/>
        <v>0.11077520983565159</v>
      </c>
      <c r="C90">
        <f t="shared" si="17"/>
        <v>0.14645476698199522</v>
      </c>
      <c r="D90" s="1">
        <f t="shared" si="21"/>
        <v>29761.506310622568</v>
      </c>
      <c r="E90" s="27">
        <f t="shared" si="18"/>
        <v>3296.837106584284</v>
      </c>
      <c r="F90" s="27">
        <f t="shared" si="19"/>
        <v>471.5210060765592</v>
      </c>
      <c r="G90" s="27">
        <f t="shared" si="20"/>
        <v>4358.714471755408</v>
      </c>
      <c r="H90" s="27">
        <f>SUM(F90:F$109)</f>
        <v>3794.0249221372856</v>
      </c>
      <c r="I90" s="27">
        <f>SUM(G90:G$109)</f>
        <v>24024.338214195082</v>
      </c>
      <c r="J90" s="27">
        <f>SUM(H90:H$109)</f>
        <v>21445.845046542712</v>
      </c>
      <c r="K90" s="27">
        <f>SUM(I90:I$109)</f>
        <v>108634.05709627061</v>
      </c>
      <c r="M90" s="13">
        <f t="shared" si="14"/>
        <v>81</v>
      </c>
      <c r="N90" s="37">
        <v>0.11077520983565159</v>
      </c>
      <c r="O90" s="37">
        <v>0.08130212827096683</v>
      </c>
      <c r="P90" s="37"/>
      <c r="Q90" s="37"/>
    </row>
    <row r="91" spans="1:17" ht="12.75">
      <c r="A91">
        <f t="shared" si="16"/>
        <v>82</v>
      </c>
      <c r="B91" s="26">
        <f t="shared" si="15"/>
        <v>0.12175989852855407</v>
      </c>
      <c r="C91">
        <f t="shared" si="17"/>
        <v>0.1430222333808547</v>
      </c>
      <c r="D91" s="1">
        <f t="shared" si="21"/>
        <v>26464.669204038284</v>
      </c>
      <c r="E91" s="27">
        <f t="shared" si="18"/>
        <v>3222.3354368754513</v>
      </c>
      <c r="F91" s="27">
        <f t="shared" si="19"/>
        <v>450.0640731291008</v>
      </c>
      <c r="G91" s="27">
        <f t="shared" si="20"/>
        <v>3785.036095247082</v>
      </c>
      <c r="H91" s="27">
        <f>SUM(F91:F$109)</f>
        <v>3322.503916060726</v>
      </c>
      <c r="I91" s="27">
        <f>SUM(G91:G$109)</f>
        <v>19665.62374243967</v>
      </c>
      <c r="J91" s="27">
        <f>SUM(H91:H$109)</f>
        <v>17651.820124405433</v>
      </c>
      <c r="K91" s="27">
        <f>SUM(I91:I$109)</f>
        <v>84609.71888207554</v>
      </c>
      <c r="M91" s="13">
        <f t="shared" si="14"/>
        <v>82</v>
      </c>
      <c r="N91" s="37">
        <v>0.12175989852855407</v>
      </c>
      <c r="O91" s="37">
        <v>0.09064911854429936</v>
      </c>
      <c r="P91" s="37"/>
      <c r="Q91" s="37"/>
    </row>
    <row r="92" spans="1:17" ht="12.75">
      <c r="A92">
        <f t="shared" si="16"/>
        <v>83</v>
      </c>
      <c r="B92" s="26">
        <f t="shared" si="15"/>
        <v>0.13381678460342494</v>
      </c>
      <c r="C92">
        <f t="shared" si="17"/>
        <v>0.13967014978599093</v>
      </c>
      <c r="D92" s="1">
        <f t="shared" si="21"/>
        <v>23242.333767162832</v>
      </c>
      <c r="E92" s="27">
        <f t="shared" si="18"/>
        <v>3110.214371401339</v>
      </c>
      <c r="F92" s="27">
        <f t="shared" si="19"/>
        <v>424.22276085953774</v>
      </c>
      <c r="G92" s="27">
        <f t="shared" si="20"/>
        <v>3246.2602386356275</v>
      </c>
      <c r="H92" s="27">
        <f>SUM(F92:F$109)</f>
        <v>2872.4398429316257</v>
      </c>
      <c r="I92" s="27">
        <f>SUM(G92:G$109)</f>
        <v>15880.58764719259</v>
      </c>
      <c r="J92" s="27">
        <f>SUM(H92:H$109)</f>
        <v>14329.316208344702</v>
      </c>
      <c r="K92" s="27">
        <f>SUM(I92:I$109)</f>
        <v>64944.095139635894</v>
      </c>
      <c r="M92" s="13">
        <f t="shared" si="14"/>
        <v>83</v>
      </c>
      <c r="N92" s="37">
        <v>0.13381678460342494</v>
      </c>
      <c r="O92" s="37">
        <v>0.10173056710824857</v>
      </c>
      <c r="P92" s="37"/>
      <c r="Q92" s="37"/>
    </row>
    <row r="93" spans="1:17" ht="12.75">
      <c r="A93">
        <f t="shared" si="16"/>
        <v>84</v>
      </c>
      <c r="B93" s="26">
        <f t="shared" si="15"/>
        <v>0.1470310672417109</v>
      </c>
      <c r="C93">
        <f t="shared" si="17"/>
        <v>0.13639663065038177</v>
      </c>
      <c r="D93" s="1">
        <f t="shared" si="21"/>
        <v>20132.119395761492</v>
      </c>
      <c r="E93" s="27">
        <f t="shared" si="18"/>
        <v>2960.04700059636</v>
      </c>
      <c r="F93" s="27">
        <f t="shared" si="19"/>
        <v>394.277770945422</v>
      </c>
      <c r="G93" s="27">
        <f t="shared" si="20"/>
        <v>2745.9532534330674</v>
      </c>
      <c r="H93" s="27">
        <f>SUM(F93:F$109)</f>
        <v>2448.217082072088</v>
      </c>
      <c r="I93" s="27">
        <f>SUM(G93:G$109)</f>
        <v>12634.327408556961</v>
      </c>
      <c r="J93" s="27">
        <f>SUM(H93:H$109)</f>
        <v>11456.876365413074</v>
      </c>
      <c r="K93" s="27">
        <f>SUM(I93:I$109)</f>
        <v>49063.50749244331</v>
      </c>
      <c r="M93" s="13">
        <f t="shared" si="14"/>
        <v>84</v>
      </c>
      <c r="N93" s="37">
        <v>0.1470310672417109</v>
      </c>
      <c r="O93" s="37">
        <v>0.11137033868114221</v>
      </c>
      <c r="P93" s="37"/>
      <c r="Q93" s="37"/>
    </row>
    <row r="94" spans="1:17" ht="12.75">
      <c r="A94">
        <f t="shared" si="16"/>
        <v>85</v>
      </c>
      <c r="B94" s="26">
        <f t="shared" si="15"/>
        <v>0.161490173234332</v>
      </c>
      <c r="C94">
        <f t="shared" si="17"/>
        <v>0.13319983461951346</v>
      </c>
      <c r="D94" s="1">
        <f t="shared" si="21"/>
        <v>17172.07239516513</v>
      </c>
      <c r="E94" s="27">
        <f t="shared" si="18"/>
        <v>2773.1209458877074</v>
      </c>
      <c r="F94" s="27">
        <f t="shared" si="19"/>
        <v>360.72192516811657</v>
      </c>
      <c r="G94" s="27">
        <f t="shared" si="20"/>
        <v>2287.3172031103077</v>
      </c>
      <c r="H94" s="27">
        <f>SUM(F94:F$109)</f>
        <v>2053.9393111266654</v>
      </c>
      <c r="I94" s="27">
        <f>SUM(G94:G$109)</f>
        <v>9888.374155123893</v>
      </c>
      <c r="J94" s="27">
        <f>SUM(H94:H$109)</f>
        <v>9008.659283340987</v>
      </c>
      <c r="K94" s="27">
        <f>SUM(I94:I$109)</f>
        <v>36429.180083886335</v>
      </c>
      <c r="M94" s="13">
        <f t="shared" si="14"/>
        <v>85</v>
      </c>
      <c r="N94" s="37">
        <v>0.161490173234332</v>
      </c>
      <c r="O94" s="37">
        <v>0.13126532502168342</v>
      </c>
      <c r="P94" s="37"/>
      <c r="Q94" s="37"/>
    </row>
    <row r="95" spans="1:17" ht="12.75">
      <c r="A95">
        <f t="shared" si="16"/>
        <v>86</v>
      </c>
      <c r="B95" s="26">
        <f t="shared" si="15"/>
        <v>0.17728260710966903</v>
      </c>
      <c r="C95">
        <f t="shared" si="17"/>
        <v>0.13007796349561862</v>
      </c>
      <c r="D95" s="1">
        <f t="shared" si="21"/>
        <v>14398.951449277423</v>
      </c>
      <c r="E95" s="27">
        <f t="shared" si="18"/>
        <v>2552.683652573449</v>
      </c>
      <c r="F95" s="27">
        <f t="shared" si="19"/>
        <v>324.2655185305776</v>
      </c>
      <c r="G95" s="27">
        <f t="shared" si="20"/>
        <v>1872.9862809942936</v>
      </c>
      <c r="H95" s="27">
        <f>SUM(F95:F$109)</f>
        <v>1693.2173859585487</v>
      </c>
      <c r="I95" s="27">
        <f>SUM(G95:G$109)</f>
        <v>7601.056952013583</v>
      </c>
      <c r="J95" s="27">
        <f>SUM(H95:H$109)</f>
        <v>6954.719972214325</v>
      </c>
      <c r="K95" s="27">
        <f>SUM(I95:I$109)</f>
        <v>26540.805928762456</v>
      </c>
      <c r="M95" s="13">
        <f t="shared" si="14"/>
        <v>86</v>
      </c>
      <c r="N95" s="37">
        <v>0.17728260710966903</v>
      </c>
      <c r="O95" s="37">
        <v>0.14868745013697615</v>
      </c>
      <c r="P95" s="37"/>
      <c r="Q95" s="37"/>
    </row>
    <row r="96" spans="1:17" ht="12.75">
      <c r="A96">
        <f t="shared" si="16"/>
        <v>87</v>
      </c>
      <c r="B96" s="26">
        <f t="shared" si="15"/>
        <v>0.1944964528639579</v>
      </c>
      <c r="C96">
        <f t="shared" si="17"/>
        <v>0.12702926122619004</v>
      </c>
      <c r="D96" s="1">
        <f t="shared" si="21"/>
        <v>11846.267796703974</v>
      </c>
      <c r="E96" s="27">
        <f t="shared" si="18"/>
        <v>2304.057066135457</v>
      </c>
      <c r="F96" s="27">
        <f t="shared" si="19"/>
        <v>285.8229169279003</v>
      </c>
      <c r="G96" s="27">
        <f t="shared" si="20"/>
        <v>1504.822646502912</v>
      </c>
      <c r="H96" s="27">
        <f>SUM(F96:F$109)</f>
        <v>1368.9518674279711</v>
      </c>
      <c r="I96" s="27">
        <f>SUM(G96:G$109)</f>
        <v>5728.070671019289</v>
      </c>
      <c r="J96" s="27">
        <f>SUM(H96:H$109)</f>
        <v>5261.502586255776</v>
      </c>
      <c r="K96" s="27">
        <f>SUM(I96:I$109)</f>
        <v>18939.748976748873</v>
      </c>
      <c r="M96" s="13">
        <f t="shared" si="14"/>
        <v>87</v>
      </c>
      <c r="N96" s="37">
        <v>0.1944964528639579</v>
      </c>
      <c r="O96" s="37">
        <v>0.16940740840801127</v>
      </c>
      <c r="P96" s="37"/>
      <c r="Q96" s="37"/>
    </row>
    <row r="97" spans="1:17" ht="12.75">
      <c r="A97">
        <f t="shared" si="16"/>
        <v>88</v>
      </c>
      <c r="B97" s="26">
        <f t="shared" si="15"/>
        <v>0.2132174715971309</v>
      </c>
      <c r="C97">
        <f t="shared" si="17"/>
        <v>0.12405201291620119</v>
      </c>
      <c r="D97" s="1">
        <f t="shared" si="21"/>
        <v>9542.210730568517</v>
      </c>
      <c r="E97" s="27">
        <f t="shared" si="18"/>
        <v>2034.5660454188303</v>
      </c>
      <c r="F97" s="27">
        <f t="shared" si="19"/>
        <v>246.47657553238398</v>
      </c>
      <c r="G97" s="27">
        <f t="shared" si="20"/>
        <v>1183.7304487975991</v>
      </c>
      <c r="H97" s="27">
        <f>SUM(F97:F$109)</f>
        <v>1083.1289505000711</v>
      </c>
      <c r="I97" s="27">
        <f>SUM(G97:G$109)</f>
        <v>4223.248024516379</v>
      </c>
      <c r="J97" s="27">
        <f>SUM(H97:H$109)</f>
        <v>3892.550718827804</v>
      </c>
      <c r="K97" s="27">
        <f>SUM(I97:I$109)</f>
        <v>13211.678305729583</v>
      </c>
      <c r="M97" s="13">
        <f t="shared" si="14"/>
        <v>88</v>
      </c>
      <c r="N97" s="37">
        <v>0.2132174715971309</v>
      </c>
      <c r="O97" s="37">
        <v>0.19141223740961222</v>
      </c>
      <c r="P97" s="37"/>
      <c r="Q97" s="37"/>
    </row>
    <row r="98" spans="1:17" ht="12.75">
      <c r="A98">
        <f t="shared" si="16"/>
        <v>89</v>
      </c>
      <c r="B98" s="26">
        <f t="shared" si="15"/>
        <v>0.23352673927368028</v>
      </c>
      <c r="C98">
        <f t="shared" si="17"/>
        <v>0.12114454386347775</v>
      </c>
      <c r="D98" s="1">
        <f t="shared" si="21"/>
        <v>7507.644685149687</v>
      </c>
      <c r="E98" s="27">
        <f t="shared" si="18"/>
        <v>1753.2357829483824</v>
      </c>
      <c r="F98" s="27">
        <f t="shared" si="19"/>
        <v>207.41694258829008</v>
      </c>
      <c r="G98" s="27">
        <f t="shared" si="20"/>
        <v>909.5101908715219</v>
      </c>
      <c r="H98" s="27">
        <f>SUM(F98:F$109)</f>
        <v>836.652374967687</v>
      </c>
      <c r="I98" s="27">
        <f>SUM(G98:G$109)</f>
        <v>3039.5175757187785</v>
      </c>
      <c r="J98" s="27">
        <f>SUM(H98:H$109)</f>
        <v>2809.421768327733</v>
      </c>
      <c r="K98" s="27">
        <f>SUM(I98:I$109)</f>
        <v>8988.430281213205</v>
      </c>
      <c r="M98" s="13">
        <f t="shared" si="14"/>
        <v>89</v>
      </c>
      <c r="N98" s="37">
        <v>0.23352673927368028</v>
      </c>
      <c r="O98" s="37">
        <v>0.21593956310754603</v>
      </c>
      <c r="P98" s="37"/>
      <c r="Q98" s="37"/>
    </row>
    <row r="99" spans="1:17" ht="12.75">
      <c r="A99">
        <f t="shared" si="16"/>
        <v>90</v>
      </c>
      <c r="B99" s="26">
        <f t="shared" si="15"/>
        <v>0.255497772552189</v>
      </c>
      <c r="C99">
        <f t="shared" si="17"/>
        <v>0.11830521861667748</v>
      </c>
      <c r="D99" s="1">
        <f t="shared" si="21"/>
        <v>5754.408902201304</v>
      </c>
      <c r="E99" s="27">
        <f t="shared" si="18"/>
        <v>1470.23865686692</v>
      </c>
      <c r="F99" s="27">
        <f t="shared" si="19"/>
        <v>169.8602594915344</v>
      </c>
      <c r="G99" s="27">
        <f t="shared" si="20"/>
        <v>680.7766031846803</v>
      </c>
      <c r="H99" s="27">
        <f>SUM(F99:F$109)</f>
        <v>629.2354323793969</v>
      </c>
      <c r="I99" s="27">
        <f>SUM(G99:G$109)</f>
        <v>2130.0073848472566</v>
      </c>
      <c r="J99" s="27">
        <f>SUM(H99:H$109)</f>
        <v>1972.7693933600463</v>
      </c>
      <c r="K99" s="27">
        <f>SUM(I99:I$109)</f>
        <v>5948.9127054944265</v>
      </c>
      <c r="M99" s="13">
        <f t="shared" si="14"/>
        <v>90</v>
      </c>
      <c r="N99" s="37">
        <v>0.255497772552189</v>
      </c>
      <c r="O99" s="37">
        <v>0.24316285227346246</v>
      </c>
      <c r="P99" s="37"/>
      <c r="Q99" s="37"/>
    </row>
    <row r="100" spans="1:17" ht="12.75">
      <c r="A100">
        <f t="shared" si="16"/>
        <v>91</v>
      </c>
      <c r="B100" s="26">
        <f t="shared" si="15"/>
        <v>0.27919309976703144</v>
      </c>
      <c r="C100">
        <f t="shared" si="17"/>
        <v>0.11553244005534909</v>
      </c>
      <c r="D100" s="1">
        <f t="shared" si="21"/>
        <v>4284.170245334384</v>
      </c>
      <c r="E100" s="27">
        <f t="shared" si="18"/>
        <v>1196.1107707245903</v>
      </c>
      <c r="F100" s="27">
        <f t="shared" si="19"/>
        <v>134.95077726396107</v>
      </c>
      <c r="G100" s="27">
        <f t="shared" si="20"/>
        <v>494.96064205600493</v>
      </c>
      <c r="H100" s="27">
        <f>SUM(F100:F$109)</f>
        <v>459.3751728878624</v>
      </c>
      <c r="I100" s="27">
        <f>SUM(G100:G$109)</f>
        <v>1449.2307816625762</v>
      </c>
      <c r="J100" s="27">
        <f>SUM(H100:H$109)</f>
        <v>1343.5339609806492</v>
      </c>
      <c r="K100" s="27">
        <f>SUM(I100:I$109)</f>
        <v>3818.9053206471694</v>
      </c>
      <c r="M100" s="13">
        <f t="shared" si="14"/>
        <v>91</v>
      </c>
      <c r="N100" s="37">
        <v>0.27919309976703144</v>
      </c>
      <c r="O100" s="37">
        <v>0.27323180204088127</v>
      </c>
      <c r="P100" s="37"/>
      <c r="Q100" s="37"/>
    </row>
    <row r="101" spans="1:17" ht="12.75">
      <c r="A101">
        <f t="shared" si="16"/>
        <v>92</v>
      </c>
      <c r="B101" s="26">
        <f t="shared" si="15"/>
        <v>0.304660250643658</v>
      </c>
      <c r="C101">
        <f t="shared" si="17"/>
        <v>0.11282464849155185</v>
      </c>
      <c r="D101" s="1">
        <f t="shared" si="21"/>
        <v>3088.059474609794</v>
      </c>
      <c r="E101" s="27">
        <f t="shared" si="18"/>
        <v>940.8089735371426</v>
      </c>
      <c r="F101" s="27">
        <f t="shared" si="19"/>
        <v>103.65863450881429</v>
      </c>
      <c r="G101" s="27">
        <f t="shared" si="20"/>
        <v>348.4092247438563</v>
      </c>
      <c r="H101" s="27">
        <f>SUM(F101:F$109)</f>
        <v>324.4243956239013</v>
      </c>
      <c r="I101" s="27">
        <f>SUM(G101:G$109)</f>
        <v>954.2701396065713</v>
      </c>
      <c r="J101" s="27">
        <f>SUM(H101:H$109)</f>
        <v>884.1587880927865</v>
      </c>
      <c r="K101" s="27">
        <f>SUM(I101:I$109)</f>
        <v>2369.6745389845937</v>
      </c>
      <c r="M101" s="13">
        <f t="shared" si="14"/>
        <v>92</v>
      </c>
      <c r="N101" s="37">
        <v>0.304660250643658</v>
      </c>
      <c r="O101" s="37">
        <v>0.30625905383306884</v>
      </c>
      <c r="P101" s="37"/>
      <c r="Q101" s="37"/>
    </row>
    <row r="102" spans="1:17" ht="12.75">
      <c r="A102">
        <f t="shared" si="16"/>
        <v>93</v>
      </c>
      <c r="B102" s="26">
        <f t="shared" si="15"/>
        <v>0.33192716441823567</v>
      </c>
      <c r="C102">
        <f t="shared" si="17"/>
        <v>0.11018032079253111</v>
      </c>
      <c r="D102" s="1">
        <f t="shared" si="21"/>
        <v>2147.2505010726513</v>
      </c>
      <c r="E102" s="27">
        <f t="shared" si="18"/>
        <v>712.7307701166809</v>
      </c>
      <c r="F102" s="27">
        <f t="shared" si="19"/>
        <v>76.68838368180045</v>
      </c>
      <c r="G102" s="27">
        <f t="shared" si="20"/>
        <v>236.5847490301079</v>
      </c>
      <c r="H102" s="27">
        <f>SUM(F102:F$109)</f>
        <v>220.7657611150871</v>
      </c>
      <c r="I102" s="27">
        <f>SUM(G102:G$109)</f>
        <v>605.8609148627149</v>
      </c>
      <c r="J102" s="27">
        <f>SUM(H102:H$109)</f>
        <v>559.7343924688852</v>
      </c>
      <c r="K102" s="27">
        <f>SUM(I102:I$109)</f>
        <v>1415.4043993780222</v>
      </c>
      <c r="M102" s="13">
        <f t="shared" si="14"/>
        <v>93</v>
      </c>
      <c r="N102" s="37">
        <v>0.33192716441823567</v>
      </c>
      <c r="O102" s="37">
        <v>0.34230419424707637</v>
      </c>
      <c r="P102" s="37"/>
      <c r="Q102" s="37"/>
    </row>
    <row r="103" spans="1:17" ht="12.75">
      <c r="A103">
        <f t="shared" si="16"/>
        <v>94</v>
      </c>
      <c r="B103" s="26">
        <f t="shared" si="15"/>
        <v>0.3609970541181461</v>
      </c>
      <c r="C103">
        <f t="shared" si="17"/>
        <v>0.10759796952395617</v>
      </c>
      <c r="D103" s="1">
        <f t="shared" si="21"/>
        <v>1434.5197309559703</v>
      </c>
      <c r="E103" s="27">
        <f t="shared" si="18"/>
        <v>517.8573969494607</v>
      </c>
      <c r="F103" s="27">
        <f t="shared" si="19"/>
        <v>54.414457436253265</v>
      </c>
      <c r="G103" s="27">
        <f t="shared" si="20"/>
        <v>154.3514102929143</v>
      </c>
      <c r="H103" s="27">
        <f>SUM(F103:F$109)</f>
        <v>144.07737743328664</v>
      </c>
      <c r="I103" s="27">
        <f>SUM(G103:G$109)</f>
        <v>369.2761658326071</v>
      </c>
      <c r="J103" s="27">
        <f>SUM(H103:H$109)</f>
        <v>338.96863135379806</v>
      </c>
      <c r="K103" s="27">
        <f>SUM(I103:I$109)</f>
        <v>809.5434845153071</v>
      </c>
      <c r="M103" s="13">
        <f t="shared" si="14"/>
        <v>94</v>
      </c>
      <c r="N103" s="37">
        <v>0.3609970541181461</v>
      </c>
      <c r="O103" s="37">
        <v>0.38135521169385345</v>
      </c>
      <c r="P103" s="37"/>
      <c r="Q103" s="37"/>
    </row>
    <row r="104" spans="1:17" ht="12.75">
      <c r="A104">
        <f t="shared" si="16"/>
        <v>95</v>
      </c>
      <c r="B104" s="26">
        <f t="shared" si="15"/>
        <v>0.39184281718487624</v>
      </c>
      <c r="C104">
        <f t="shared" si="17"/>
        <v>0.10507614211323843</v>
      </c>
      <c r="D104" s="1">
        <f t="shared" si="21"/>
        <v>916.6623340065096</v>
      </c>
      <c r="E104" s="27">
        <f t="shared" si="18"/>
        <v>359.1875513643747</v>
      </c>
      <c r="F104" s="27">
        <f t="shared" si="19"/>
        <v>36.85746307858317</v>
      </c>
      <c r="G104" s="27">
        <f t="shared" si="20"/>
        <v>96.31934167792083</v>
      </c>
      <c r="H104" s="27">
        <f>SUM(F104:F$109)</f>
        <v>89.66291999703336</v>
      </c>
      <c r="I104" s="27">
        <f>SUM(G104:G$109)</f>
        <v>214.92475553969282</v>
      </c>
      <c r="J104" s="27">
        <f>SUM(H104:H$109)</f>
        <v>194.89125392051145</v>
      </c>
      <c r="K104" s="27">
        <f>SUM(I104:I$109)</f>
        <v>440.2673186827</v>
      </c>
      <c r="M104" s="13">
        <f t="shared" si="14"/>
        <v>95</v>
      </c>
      <c r="N104" s="37">
        <v>0.39184281718487624</v>
      </c>
      <c r="O104" s="37">
        <v>0.4233079733763264</v>
      </c>
      <c r="P104" s="37"/>
      <c r="Q104" s="37"/>
    </row>
    <row r="105" spans="1:17" ht="12.75">
      <c r="A105">
        <f t="shared" si="16"/>
        <v>96</v>
      </c>
      <c r="B105" s="26">
        <f t="shared" si="15"/>
        <v>0.42440115127464106</v>
      </c>
      <c r="C105">
        <f t="shared" si="17"/>
        <v>0.10261342003245942</v>
      </c>
      <c r="D105" s="1">
        <f t="shared" si="21"/>
        <v>557.4747826421349</v>
      </c>
      <c r="E105" s="27">
        <f t="shared" si="18"/>
        <v>236.59293955990233</v>
      </c>
      <c r="F105" s="27">
        <f t="shared" si="19"/>
        <v>23.708604183373577</v>
      </c>
      <c r="G105" s="27">
        <f t="shared" si="20"/>
        <v>57.204394028761406</v>
      </c>
      <c r="H105" s="27">
        <f>SUM(F105:F$109)</f>
        <v>52.80545691845019</v>
      </c>
      <c r="I105" s="27">
        <f>SUM(G105:G$109)</f>
        <v>118.60541386177199</v>
      </c>
      <c r="J105" s="27">
        <f>SUM(H105:H$109)</f>
        <v>105.2283339234781</v>
      </c>
      <c r="K105" s="27">
        <f>SUM(I105:I$109)</f>
        <v>225.3425631430072</v>
      </c>
      <c r="M105" s="13">
        <f t="shared" si="14"/>
        <v>96</v>
      </c>
      <c r="N105" s="37">
        <v>0.42440115127464106</v>
      </c>
      <c r="O105" s="37">
        <v>0.46794484423827154</v>
      </c>
      <c r="P105" s="37"/>
      <c r="Q105" s="37"/>
    </row>
    <row r="106" spans="1:17" ht="12.75">
      <c r="A106">
        <f t="shared" si="16"/>
        <v>97</v>
      </c>
      <c r="B106" s="26">
        <f t="shared" si="15"/>
        <v>0.4585666197957672</v>
      </c>
      <c r="C106">
        <f t="shared" si="17"/>
        <v>0.10020841800044865</v>
      </c>
      <c r="D106" s="1">
        <f t="shared" si="21"/>
        <v>320.88184308223254</v>
      </c>
      <c r="E106" s="27">
        <f t="shared" si="18"/>
        <v>147.14570213605515</v>
      </c>
      <c r="F106" s="27">
        <f t="shared" si="19"/>
        <v>14.399646510370435</v>
      </c>
      <c r="G106" s="27">
        <f t="shared" si="20"/>
        <v>32.155061860338726</v>
      </c>
      <c r="H106" s="27">
        <f>SUM(F106:F$109)</f>
        <v>29.096852735076613</v>
      </c>
      <c r="I106" s="27">
        <f>SUM(G106:G$109)</f>
        <v>61.401019833010594</v>
      </c>
      <c r="J106" s="27">
        <f>SUM(H106:H$109)</f>
        <v>52.42287700502793</v>
      </c>
      <c r="K106" s="27">
        <f>SUM(I106:I$109)</f>
        <v>106.7371492812352</v>
      </c>
      <c r="M106" s="13">
        <f t="shared" si="14"/>
        <v>97</v>
      </c>
      <c r="N106" s="37">
        <v>0.4585666197957672</v>
      </c>
      <c r="O106" s="37">
        <v>0.5149142928013455</v>
      </c>
      <c r="P106" s="37"/>
      <c r="Q106" s="37"/>
    </row>
    <row r="107" spans="1:17" ht="12.75">
      <c r="A107">
        <f t="shared" si="16"/>
        <v>98</v>
      </c>
      <c r="B107" s="26">
        <f t="shared" si="15"/>
        <v>0.49418601349414804</v>
      </c>
      <c r="C107">
        <f t="shared" si="17"/>
        <v>0.09785978320356314</v>
      </c>
      <c r="D107" s="1">
        <f t="shared" si="21"/>
        <v>173.7361409461774</v>
      </c>
      <c r="E107" s="27">
        <f t="shared" si="18"/>
        <v>85.85797089404882</v>
      </c>
      <c r="F107" s="27">
        <f t="shared" si="19"/>
        <v>8.205119548817823</v>
      </c>
      <c r="G107" s="27">
        <f t="shared" si="20"/>
        <v>17.00178108761661</v>
      </c>
      <c r="H107" s="27">
        <f>SUM(F107:F$109)</f>
        <v>14.69720622470618</v>
      </c>
      <c r="I107" s="27">
        <f>SUM(G107:G$109)</f>
        <v>29.245957972671867</v>
      </c>
      <c r="J107" s="27">
        <f>SUM(H107:H$109)</f>
        <v>23.326024269951308</v>
      </c>
      <c r="K107" s="27">
        <f>SUM(I107:I$109)</f>
        <v>45.336129448224604</v>
      </c>
      <c r="M107" s="13">
        <f t="shared" si="14"/>
        <v>98</v>
      </c>
      <c r="N107" s="37">
        <v>0.49418601349414804</v>
      </c>
      <c r="O107" s="37">
        <v>0.5637141853761948</v>
      </c>
      <c r="P107" s="37"/>
      <c r="Q107" s="37"/>
    </row>
    <row r="108" spans="1:17" ht="12.75">
      <c r="A108">
        <f t="shared" si="16"/>
        <v>99</v>
      </c>
      <c r="B108" s="26">
        <f t="shared" si="15"/>
        <v>0.5310534681747097</v>
      </c>
      <c r="C108">
        <f t="shared" si="17"/>
        <v>0.09556619453472963</v>
      </c>
      <c r="D108" s="1">
        <f t="shared" si="21"/>
        <v>87.87817005212857</v>
      </c>
      <c r="E108" s="27">
        <f t="shared" si="18"/>
        <v>46.668006983029784</v>
      </c>
      <c r="F108" s="27">
        <f t="shared" si="19"/>
        <v>4.355355306531586</v>
      </c>
      <c r="G108" s="27">
        <f t="shared" si="20"/>
        <v>8.39818229455777</v>
      </c>
      <c r="H108" s="27">
        <f>SUM(F108:F$109)</f>
        <v>6.492086675888357</v>
      </c>
      <c r="I108" s="27">
        <f>SUM(G108:G$109)</f>
        <v>12.244176885055255</v>
      </c>
      <c r="J108" s="27">
        <f>SUM(H108:H$109)</f>
        <v>8.62881804524513</v>
      </c>
      <c r="K108" s="27">
        <f>SUM(I108:I$109)</f>
        <v>16.09017147555274</v>
      </c>
      <c r="M108" s="13">
        <f t="shared" si="14"/>
        <v>99</v>
      </c>
      <c r="N108" s="37">
        <v>0.5310534681747097</v>
      </c>
      <c r="O108" s="37">
        <v>0.6136823641162288</v>
      </c>
      <c r="P108" s="37"/>
      <c r="Q108" s="37"/>
    </row>
    <row r="109" spans="1:17" ht="12.75">
      <c r="A109">
        <f t="shared" si="16"/>
        <v>100</v>
      </c>
      <c r="B109" s="26">
        <f t="shared" si="15"/>
        <v>0.5689069162050775</v>
      </c>
      <c r="C109">
        <f t="shared" si="17"/>
        <v>0.09332636185032189</v>
      </c>
      <c r="D109" s="1">
        <f>D108-E108</f>
        <v>41.21016306909878</v>
      </c>
      <c r="E109" s="27">
        <f>D109*B109</f>
        <v>23.44474678794936</v>
      </c>
      <c r="F109" s="27">
        <f>E109*C110</f>
        <v>2.1367313693567715</v>
      </c>
      <c r="G109" s="27">
        <f>D109*C109</f>
        <v>3.845994590497485</v>
      </c>
      <c r="H109" s="27">
        <f>SUM(F109:F$109)</f>
        <v>2.1367313693567715</v>
      </c>
      <c r="I109" s="27">
        <f>SUM(G109:G$109)</f>
        <v>3.845994590497485</v>
      </c>
      <c r="J109" s="27">
        <f>SUM(H109:H$109)</f>
        <v>2.1367313693567715</v>
      </c>
      <c r="K109" s="27">
        <f>SUM(I109:I$109)</f>
        <v>3.845994590497485</v>
      </c>
      <c r="M109" s="13">
        <f t="shared" si="14"/>
        <v>100</v>
      </c>
      <c r="N109" s="37">
        <v>0.5689069162050775</v>
      </c>
      <c r="O109" s="37">
        <v>0.6639988498575731</v>
      </c>
      <c r="P109" s="37"/>
      <c r="Q109" s="37"/>
    </row>
    <row r="110" spans="1:17" ht="12.75">
      <c r="A110">
        <f t="shared" si="16"/>
        <v>101</v>
      </c>
      <c r="B110" s="81">
        <v>1</v>
      </c>
      <c r="C110">
        <f t="shared" si="17"/>
        <v>0.09113902524445498</v>
      </c>
      <c r="M110" s="13">
        <f t="shared" si="14"/>
        <v>101</v>
      </c>
      <c r="N110" s="37">
        <v>0.6074265569865877</v>
      </c>
      <c r="O110" s="37">
        <v>0.7137043123640265</v>
      </c>
      <c r="P110" s="37"/>
      <c r="Q110" s="37"/>
    </row>
    <row r="111" spans="1:17" ht="12.75">
      <c r="A111">
        <f t="shared" si="16"/>
        <v>102</v>
      </c>
      <c r="B111" s="26"/>
      <c r="M111" s="13">
        <f t="shared" si="14"/>
        <v>102</v>
      </c>
      <c r="N111" s="37">
        <v>0.6462361086738846</v>
      </c>
      <c r="O111" s="37">
        <v>0.761738910675972</v>
      </c>
      <c r="P111" s="37"/>
      <c r="Q111" s="37"/>
    </row>
    <row r="112" spans="1:17" ht="12.75">
      <c r="A112">
        <f t="shared" si="16"/>
        <v>103</v>
      </c>
      <c r="B112" s="26"/>
      <c r="M112" s="13">
        <f t="shared" si="14"/>
        <v>103</v>
      </c>
      <c r="N112" s="37">
        <v>0.683703796458286</v>
      </c>
      <c r="O112" s="37">
        <v>0.812189144132205</v>
      </c>
      <c r="P112" s="37"/>
      <c r="Q112" s="37"/>
    </row>
    <row r="113" spans="1:15" ht="12.75">
      <c r="A113"/>
      <c r="B113" s="26"/>
      <c r="N113" s="30"/>
      <c r="O113" s="30"/>
    </row>
    <row r="114" spans="1:15" ht="12.75">
      <c r="A114"/>
      <c r="B114" s="26"/>
      <c r="N114" s="30"/>
      <c r="O114" s="30"/>
    </row>
    <row r="115" spans="1:15" ht="12.75">
      <c r="A115"/>
      <c r="B115" s="26"/>
      <c r="N115" s="30"/>
      <c r="O115" s="30"/>
    </row>
    <row r="116" spans="1:15" ht="12.75">
      <c r="A116"/>
      <c r="B116" s="26"/>
      <c r="N116" s="30"/>
      <c r="O116" s="30"/>
    </row>
    <row r="117" spans="1:15" ht="12.75">
      <c r="A117"/>
      <c r="B117" s="26"/>
      <c r="N117" s="30"/>
      <c r="O117" s="30"/>
    </row>
    <row r="118" spans="1:15" ht="12.75">
      <c r="A118"/>
      <c r="B118" s="26"/>
      <c r="N118" s="30"/>
      <c r="O118" s="30"/>
    </row>
    <row r="119" spans="1:15" ht="12.75">
      <c r="A119"/>
      <c r="B119" s="26"/>
      <c r="N119" s="30"/>
      <c r="O119" s="30"/>
    </row>
    <row r="120" spans="1:15" ht="12.75">
      <c r="A120"/>
      <c r="B120" s="26"/>
      <c r="N120" s="30"/>
      <c r="O120" s="30"/>
    </row>
    <row r="121" spans="1:15" ht="12.75">
      <c r="A121"/>
      <c r="B121" s="26"/>
      <c r="N121" s="30"/>
      <c r="O121" s="30"/>
    </row>
    <row r="122" spans="1:15" ht="12.75">
      <c r="A122"/>
      <c r="B122" s="26"/>
      <c r="N122" s="30"/>
      <c r="O122" s="30"/>
    </row>
    <row r="123" spans="1:15" ht="12.75">
      <c r="A123"/>
      <c r="B123" s="26"/>
      <c r="N123" s="30"/>
      <c r="O123" s="30"/>
    </row>
    <row r="124" spans="1:15" ht="12.75">
      <c r="A124"/>
      <c r="B124" s="26"/>
      <c r="N124" s="30"/>
      <c r="O124" s="30"/>
    </row>
    <row r="125" spans="1:15" ht="12.75">
      <c r="A125"/>
      <c r="B125" s="26"/>
      <c r="N125" s="30"/>
      <c r="O125" s="30"/>
    </row>
    <row r="126" spans="1:15" ht="12.75">
      <c r="A126"/>
      <c r="B126" s="26"/>
      <c r="N126" s="30"/>
      <c r="O126" s="30"/>
    </row>
    <row r="127" spans="1:15" ht="12.75">
      <c r="A127"/>
      <c r="B127" s="26"/>
      <c r="N127" s="30"/>
      <c r="O127" s="30"/>
    </row>
    <row r="128" spans="1:15" ht="12.75">
      <c r="A128"/>
      <c r="B128" s="26"/>
      <c r="N128" s="30"/>
      <c r="O128" s="30"/>
    </row>
    <row r="129" spans="1:15" ht="12.75">
      <c r="A129"/>
      <c r="B129" s="26"/>
      <c r="N129" s="30"/>
      <c r="O129" s="30"/>
    </row>
    <row r="130" spans="1:15" ht="12.75">
      <c r="A130"/>
      <c r="B130" s="26"/>
      <c r="N130" s="30"/>
      <c r="O130" s="30"/>
    </row>
    <row r="131" spans="1:15" ht="12.75">
      <c r="A131"/>
      <c r="B131" s="26"/>
      <c r="N131" s="30"/>
      <c r="O131" s="30"/>
    </row>
    <row r="132" spans="1:15" ht="12.75">
      <c r="A132"/>
      <c r="B132" s="26"/>
      <c r="N132" s="30"/>
      <c r="O132" s="30"/>
    </row>
    <row r="133" spans="1:15" ht="12.75">
      <c r="A133"/>
      <c r="B133" s="26"/>
      <c r="N133" s="30"/>
      <c r="O133" s="30"/>
    </row>
    <row r="134" spans="1:15" ht="12.75">
      <c r="A134"/>
      <c r="B134" s="26"/>
      <c r="N134" s="30"/>
      <c r="O134" s="30"/>
    </row>
    <row r="135" spans="1:15" ht="12.75">
      <c r="A135"/>
      <c r="B135" s="26"/>
      <c r="N135" s="30"/>
      <c r="O135" s="30"/>
    </row>
    <row r="136" spans="1:15" ht="12.75">
      <c r="A136"/>
      <c r="B136" s="26"/>
      <c r="N136" s="30"/>
      <c r="O136" s="30"/>
    </row>
    <row r="137" spans="1:15" ht="12.75">
      <c r="A137"/>
      <c r="B137" s="26"/>
      <c r="N137" s="30"/>
      <c r="O137" s="30"/>
    </row>
    <row r="138" spans="1:15" ht="12.75">
      <c r="A138"/>
      <c r="B138" s="26"/>
      <c r="N138" s="30"/>
      <c r="O138" s="30"/>
    </row>
    <row r="139" spans="1:15" ht="12.75">
      <c r="A139"/>
      <c r="B139" s="26"/>
      <c r="N139" s="30"/>
      <c r="O139" s="30"/>
    </row>
    <row r="140" spans="1:15" ht="12.75">
      <c r="A140"/>
      <c r="B140" s="26"/>
      <c r="N140" s="30"/>
      <c r="O140" s="30"/>
    </row>
    <row r="141" spans="1:15" ht="12.75">
      <c r="A141"/>
      <c r="B141" s="26"/>
      <c r="N141" s="30"/>
      <c r="O141" s="30"/>
    </row>
    <row r="142" spans="1:15" ht="12.75">
      <c r="A142"/>
      <c r="B142" s="26"/>
      <c r="N142" s="30"/>
      <c r="O142" s="30"/>
    </row>
    <row r="143" spans="1:15" ht="12.75">
      <c r="A143"/>
      <c r="B143" s="26"/>
      <c r="N143" s="30"/>
      <c r="O143" s="30"/>
    </row>
    <row r="144" spans="1:15" ht="12.75">
      <c r="A144"/>
      <c r="B144" s="26"/>
      <c r="N144" s="30"/>
      <c r="O144" s="30"/>
    </row>
    <row r="145" spans="1:15" ht="12.75">
      <c r="A145"/>
      <c r="B145" s="26"/>
      <c r="N145" s="30"/>
      <c r="O145" s="30"/>
    </row>
    <row r="146" spans="1:15" ht="12.75">
      <c r="A146"/>
      <c r="B146" s="26"/>
      <c r="N146" s="30"/>
      <c r="O146" s="30"/>
    </row>
    <row r="147" spans="1:15" ht="12.75">
      <c r="A147"/>
      <c r="B147" s="26"/>
      <c r="N147" s="30"/>
      <c r="O147" s="30"/>
    </row>
    <row r="148" spans="1:15" ht="12.75">
      <c r="A148"/>
      <c r="B148" s="26"/>
      <c r="N148" s="30"/>
      <c r="O148" s="30"/>
    </row>
    <row r="149" spans="1:15" ht="12.75">
      <c r="A149"/>
      <c r="B149" s="26"/>
      <c r="N149" s="30"/>
      <c r="O149" s="30"/>
    </row>
    <row r="150" spans="1:15" ht="12.75">
      <c r="A150"/>
      <c r="B150" s="26"/>
      <c r="N150" s="30"/>
      <c r="O150" s="30"/>
    </row>
    <row r="151" spans="1:15" ht="12.75">
      <c r="A151"/>
      <c r="B151" s="26"/>
      <c r="N151" s="30"/>
      <c r="O151" s="30"/>
    </row>
    <row r="152" spans="1:15" ht="12.75">
      <c r="A152"/>
      <c r="B152" s="26"/>
      <c r="N152" s="30"/>
      <c r="O152" s="30"/>
    </row>
    <row r="153" spans="1:15" ht="12.75">
      <c r="A153"/>
      <c r="B153" s="26"/>
      <c r="N153" s="30"/>
      <c r="O153" s="30"/>
    </row>
    <row r="154" spans="1:15" ht="12.75">
      <c r="A154"/>
      <c r="B154" s="26"/>
      <c r="N154" s="30"/>
      <c r="O154" s="30"/>
    </row>
    <row r="155" spans="1:15" ht="12.75">
      <c r="A155"/>
      <c r="B155" s="26"/>
      <c r="N155" s="30"/>
      <c r="O155" s="30"/>
    </row>
    <row r="156" spans="1:15" ht="12.75">
      <c r="A156"/>
      <c r="B156" s="26"/>
      <c r="N156" s="30"/>
      <c r="O156" s="30"/>
    </row>
    <row r="157" spans="1:15" ht="12.75">
      <c r="A157"/>
      <c r="B157" s="26"/>
      <c r="N157" s="30"/>
      <c r="O157" s="30"/>
    </row>
    <row r="158" spans="1:15" ht="12.75">
      <c r="A158"/>
      <c r="B158" s="26"/>
      <c r="N158" s="30"/>
      <c r="O158" s="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55"/>
  <sheetViews>
    <sheetView zoomScale="75" zoomScaleNormal="75" workbookViewId="0" topLeftCell="M1">
      <selection activeCell="S1" sqref="S1"/>
    </sheetView>
  </sheetViews>
  <sheetFormatPr defaultColWidth="9.140625" defaultRowHeight="12.75"/>
  <cols>
    <col min="4" max="4" width="12.8515625" style="0" customWidth="1"/>
    <col min="5" max="5" width="10.8515625" style="0" customWidth="1"/>
    <col min="6" max="6" width="12.28125" style="0" customWidth="1"/>
    <col min="8" max="8" width="9.00390625" style="0" customWidth="1"/>
    <col min="9" max="9" width="11.421875" style="0" customWidth="1"/>
    <col min="10" max="10" width="10.421875" style="0" customWidth="1"/>
    <col min="11" max="11" width="10.421875" style="0" bestFit="1" customWidth="1"/>
    <col min="12" max="12" width="10.421875" style="0" customWidth="1"/>
    <col min="13" max="13" width="11.00390625" style="0" customWidth="1"/>
    <col min="14" max="14" width="12.7109375" style="0" bestFit="1" customWidth="1"/>
    <col min="18" max="18" width="11.28125" style="0" customWidth="1"/>
    <col min="19" max="19" width="13.8515625" style="0" bestFit="1" customWidth="1"/>
  </cols>
  <sheetData>
    <row r="1" ht="12.75">
      <c r="S1">
        <f>MIN(12000,prem)*Data!F11*Data!B10</f>
        <v>3000</v>
      </c>
    </row>
    <row r="2" spans="10:24" ht="12.75">
      <c r="J2" s="1">
        <f>Data!I15</f>
        <v>323102</v>
      </c>
      <c r="K2" s="1">
        <f>Data!I19</f>
        <v>969306</v>
      </c>
      <c r="L2" s="1"/>
      <c r="M2" s="1">
        <f>Data!J16</f>
        <v>323102</v>
      </c>
      <c r="N2" s="87" t="e">
        <f>IRR(N5:N55,-50%)</f>
        <v>#DIV/0!</v>
      </c>
      <c r="O2" s="87">
        <f>IRR(O5:O55,0%)</f>
        <v>-0.0032866979040204604</v>
      </c>
      <c r="P2" s="87">
        <f>IRR(P5:P55,0%)</f>
        <v>0.005159509628656346</v>
      </c>
      <c r="Q2" s="87">
        <f>IRR(Q5:Q55,0%)</f>
        <v>0.00974329080106335</v>
      </c>
      <c r="R2" s="87">
        <f>IRR(R5:R55,0%)</f>
        <v>0.03516462069922291</v>
      </c>
      <c r="S2">
        <f>MAX(Data!F9-Dur*prem,0)*15%</f>
        <v>3465.2999999999997</v>
      </c>
      <c r="U2" s="87">
        <f>IRR(U5:U55,0%)</f>
        <v>0.016759892606292834</v>
      </c>
      <c r="V2" s="87">
        <f>IRR(V5:V55,0%)</f>
        <v>0.025547734288369817</v>
      </c>
      <c r="W2" s="87">
        <f>IRR(W5:W55,0%)</f>
        <v>0.031019683762279794</v>
      </c>
      <c r="X2" s="87">
        <f>IRR(X5:X55,0%)</f>
        <v>0.0592417734559311</v>
      </c>
    </row>
    <row r="3" spans="8:24" ht="12.75">
      <c r="H3" s="1">
        <f>SUM(H5:H55)</f>
        <v>286617.4359845243</v>
      </c>
      <c r="I3" s="1"/>
      <c r="J3" s="84" t="s">
        <v>49</v>
      </c>
      <c r="K3" s="85">
        <v>5</v>
      </c>
      <c r="L3" s="85">
        <v>3</v>
      </c>
      <c r="M3" s="84" t="s">
        <v>48</v>
      </c>
      <c r="N3" s="86">
        <v>1</v>
      </c>
      <c r="O3" s="86">
        <v>2</v>
      </c>
      <c r="P3" s="86">
        <v>3</v>
      </c>
      <c r="Q3" s="86">
        <v>4</v>
      </c>
      <c r="R3" s="86">
        <v>5</v>
      </c>
      <c r="S3" s="102" t="s">
        <v>67</v>
      </c>
      <c r="T3" s="86">
        <v>1</v>
      </c>
      <c r="U3" s="86">
        <v>2</v>
      </c>
      <c r="V3" s="86">
        <v>3</v>
      </c>
      <c r="W3" s="86">
        <v>4</v>
      </c>
      <c r="X3" s="86">
        <v>5</v>
      </c>
    </row>
    <row r="4" spans="2:24" ht="12.75">
      <c r="B4" s="83" t="s">
        <v>43</v>
      </c>
      <c r="C4" s="83" t="s">
        <v>18</v>
      </c>
      <c r="D4" s="83" t="s">
        <v>46</v>
      </c>
      <c r="E4" s="83" t="s">
        <v>58</v>
      </c>
      <c r="F4" s="83" t="s">
        <v>44</v>
      </c>
      <c r="G4" s="83" t="s">
        <v>45</v>
      </c>
      <c r="H4" s="83" t="s">
        <v>20</v>
      </c>
      <c r="I4" s="83" t="s">
        <v>47</v>
      </c>
      <c r="J4" s="83" t="s">
        <v>30</v>
      </c>
      <c r="K4" s="83" t="s">
        <v>30</v>
      </c>
      <c r="L4" s="83" t="s">
        <v>30</v>
      </c>
      <c r="M4" s="83" t="s">
        <v>31</v>
      </c>
      <c r="N4" s="83"/>
      <c r="O4" s="83"/>
      <c r="P4" s="83"/>
      <c r="Q4" s="83"/>
      <c r="R4" s="83"/>
      <c r="T4" s="83"/>
      <c r="U4" s="83"/>
      <c r="V4" s="83"/>
      <c r="W4" s="83"/>
      <c r="X4" s="83"/>
    </row>
    <row r="5" spans="2:24" ht="12.75">
      <c r="B5">
        <v>0</v>
      </c>
      <c r="C5">
        <f>Age</f>
        <v>35</v>
      </c>
      <c r="D5" s="94">
        <f>VLOOKUP(C5,Komutacni!$A$9:$B$110,2)</f>
        <v>0.0014909264966165292</v>
      </c>
      <c r="E5" s="94"/>
      <c r="F5" s="37">
        <v>1</v>
      </c>
      <c r="H5" s="1">
        <f aca="true" t="shared" si="0" ref="H5:H36">G6*F5*prem</f>
        <v>12000</v>
      </c>
      <c r="I5" s="1"/>
      <c r="N5" s="1">
        <f>J5-H5</f>
        <v>-12000</v>
      </c>
      <c r="O5" s="1">
        <f>M5-H5</f>
        <v>-12000</v>
      </c>
      <c r="P5" s="1">
        <f>L5+M5-H5</f>
        <v>-12000</v>
      </c>
      <c r="Q5" s="1">
        <f>J5+M5-H5</f>
        <v>-12000</v>
      </c>
      <c r="R5" s="1">
        <f>M5+K5+-H5</f>
        <v>-12000</v>
      </c>
      <c r="U5" s="1">
        <f>O5+$S5</f>
        <v>-12000</v>
      </c>
      <c r="V5" s="1">
        <f>P5+$S5</f>
        <v>-12000</v>
      </c>
      <c r="W5" s="1">
        <f>Q5+$S5</f>
        <v>-12000</v>
      </c>
      <c r="X5" s="1">
        <f>R5+$S5</f>
        <v>-12000</v>
      </c>
    </row>
    <row r="6" spans="2:24" ht="12.75">
      <c r="B6">
        <v>1</v>
      </c>
      <c r="C6">
        <f>C5+1</f>
        <v>36</v>
      </c>
      <c r="D6" s="94">
        <f>VLOOKUP(C6,Komutacni!$A$9:$B$110,2)</f>
        <v>0.0016396488250367547</v>
      </c>
      <c r="E6" s="94">
        <f>F5*D5</f>
        <v>0.0014909264966165292</v>
      </c>
      <c r="F6" s="94">
        <f>F5-E6</f>
        <v>0.9985090735033835</v>
      </c>
      <c r="G6">
        <f aca="true" t="shared" si="1" ref="G6:G37">IF(B6&gt;Dur,0,1)</f>
        <v>1</v>
      </c>
      <c r="H6" s="1">
        <f t="shared" si="0"/>
        <v>11982.108882040602</v>
      </c>
      <c r="I6" s="1">
        <f aca="true" t="shared" si="2" ref="I6:I37">G6*prem*B6</f>
        <v>12000</v>
      </c>
      <c r="J6">
        <f>E6*$J$2*G6</f>
        <v>481.72133290979383</v>
      </c>
      <c r="K6" s="11">
        <f>E6*$K$2*G6</f>
        <v>1445.1639987293815</v>
      </c>
      <c r="L6" s="11">
        <f>E6*I6*G6</f>
        <v>17.89111795939835</v>
      </c>
      <c r="M6">
        <f aca="true" t="shared" si="3" ref="M6:M37">IF(B6=Dur,$M$2,0)*F6</f>
        <v>0</v>
      </c>
      <c r="N6" s="1">
        <f>J6-H6</f>
        <v>-11500.387549130808</v>
      </c>
      <c r="O6" s="1">
        <f aca="true" t="shared" si="4" ref="O6:O55">M6-H6</f>
        <v>-11982.108882040602</v>
      </c>
      <c r="P6" s="1">
        <f aca="true" t="shared" si="5" ref="P6:P55">L6+M6-H6</f>
        <v>-11964.217764081204</v>
      </c>
      <c r="Q6" s="1">
        <f aca="true" t="shared" si="6" ref="Q6:Q55">J6+M6-H6</f>
        <v>-11500.387549130808</v>
      </c>
      <c r="R6" s="1">
        <f aca="true" t="shared" si="7" ref="R6:R55">M6+K6+-H6</f>
        <v>-10536.94488331122</v>
      </c>
      <c r="S6" s="1">
        <f aca="true" t="shared" si="8" ref="S6:S37">$S$1*F5*G6-IF(B6=Dur,$S$2,0)*F6</f>
        <v>3000</v>
      </c>
      <c r="U6" s="1">
        <f aca="true" t="shared" si="9" ref="U6:U54">O6+$S6</f>
        <v>-8982.108882040602</v>
      </c>
      <c r="V6" s="1">
        <f aca="true" t="shared" si="10" ref="V6:V55">P6+$S6</f>
        <v>-8964.217764081204</v>
      </c>
      <c r="W6" s="1">
        <f aca="true" t="shared" si="11" ref="W6:W55">Q6+$S6</f>
        <v>-8500.387549130808</v>
      </c>
      <c r="X6" s="1">
        <f aca="true" t="shared" si="12" ref="X6:X55">R6+$S6</f>
        <v>-7536.94488331122</v>
      </c>
    </row>
    <row r="7" spans="2:24" ht="12.75">
      <c r="B7">
        <v>2</v>
      </c>
      <c r="C7">
        <f aca="true" t="shared" si="13" ref="C7:C55">C6+1</f>
        <v>37</v>
      </c>
      <c r="D7" s="94">
        <f>VLOOKUP(C7,Komutacni!$A$9:$B$110,2)</f>
        <v>0.0018074474707312493</v>
      </c>
      <c r="E7" s="94">
        <f aca="true" t="shared" si="14" ref="E7:E55">F6*D6</f>
        <v>0.0016372042291583613</v>
      </c>
      <c r="F7" s="94">
        <f aca="true" t="shared" si="15" ref="F7:F55">F6-E7</f>
        <v>0.9968718692742251</v>
      </c>
      <c r="G7">
        <f t="shared" si="1"/>
        <v>1</v>
      </c>
      <c r="H7" s="1">
        <f t="shared" si="0"/>
        <v>11962.462431290702</v>
      </c>
      <c r="I7" s="1">
        <f t="shared" si="2"/>
        <v>24000</v>
      </c>
      <c r="J7">
        <f aca="true" t="shared" si="16" ref="J7:J55">E7*$J$2*G7</f>
        <v>528.9839608495248</v>
      </c>
      <c r="K7" s="11">
        <f aca="true" t="shared" si="17" ref="K7:K55">E7*$K$2*G7</f>
        <v>1586.9518825485745</v>
      </c>
      <c r="L7" s="11">
        <f aca="true" t="shared" si="18" ref="L7:L55">E7*I7*G7</f>
        <v>39.29290149980067</v>
      </c>
      <c r="M7">
        <f t="shared" si="3"/>
        <v>0</v>
      </c>
      <c r="N7" s="1">
        <f aca="true" t="shared" si="19" ref="N7:N55">J7-H7</f>
        <v>-11433.478470441178</v>
      </c>
      <c r="O7" s="1">
        <f t="shared" si="4"/>
        <v>-11962.462431290702</v>
      </c>
      <c r="P7" s="1">
        <f t="shared" si="5"/>
        <v>-11923.169529790901</v>
      </c>
      <c r="Q7" s="1">
        <f t="shared" si="6"/>
        <v>-11433.478470441178</v>
      </c>
      <c r="R7" s="1">
        <f t="shared" si="7"/>
        <v>-10375.510548742128</v>
      </c>
      <c r="S7" s="1">
        <f t="shared" si="8"/>
        <v>2995.5272205101505</v>
      </c>
      <c r="U7" s="1">
        <f t="shared" si="9"/>
        <v>-8966.935210780552</v>
      </c>
      <c r="V7" s="1">
        <f t="shared" si="10"/>
        <v>-8927.64230928075</v>
      </c>
      <c r="W7" s="1">
        <f t="shared" si="11"/>
        <v>-8437.951249931028</v>
      </c>
      <c r="X7" s="1">
        <f t="shared" si="12"/>
        <v>-7379.983328231978</v>
      </c>
    </row>
    <row r="8" spans="2:24" ht="12.75">
      <c r="B8">
        <v>3</v>
      </c>
      <c r="C8">
        <f t="shared" si="13"/>
        <v>38</v>
      </c>
      <c r="D8" s="94">
        <f>VLOOKUP(C8,Komutacni!$A$9:$B$110,2)</f>
        <v>0.0019452113057618625</v>
      </c>
      <c r="E8" s="94">
        <f t="shared" si="14"/>
        <v>0.0018017935387628309</v>
      </c>
      <c r="F8" s="94">
        <f t="shared" si="15"/>
        <v>0.9950700757354622</v>
      </c>
      <c r="G8">
        <f t="shared" si="1"/>
        <v>1</v>
      </c>
      <c r="H8" s="1">
        <f t="shared" si="0"/>
        <v>11940.840908825547</v>
      </c>
      <c r="I8" s="1">
        <f t="shared" si="2"/>
        <v>36000</v>
      </c>
      <c r="J8">
        <f t="shared" si="16"/>
        <v>582.1630959613482</v>
      </c>
      <c r="K8" s="11">
        <f t="shared" si="17"/>
        <v>1746.4892878840446</v>
      </c>
      <c r="L8" s="11">
        <f t="shared" si="18"/>
        <v>64.86456739546192</v>
      </c>
      <c r="M8">
        <f t="shared" si="3"/>
        <v>0</v>
      </c>
      <c r="N8" s="1">
        <f t="shared" si="19"/>
        <v>-11358.677812864198</v>
      </c>
      <c r="O8" s="1">
        <f t="shared" si="4"/>
        <v>-11940.840908825547</v>
      </c>
      <c r="P8" s="1">
        <f t="shared" si="5"/>
        <v>-11875.976341430085</v>
      </c>
      <c r="Q8" s="1">
        <f t="shared" si="6"/>
        <v>-11358.677812864198</v>
      </c>
      <c r="R8" s="1">
        <f t="shared" si="7"/>
        <v>-10194.351620941503</v>
      </c>
      <c r="S8" s="1">
        <f t="shared" si="8"/>
        <v>2990.6156078226754</v>
      </c>
      <c r="U8" s="1">
        <f t="shared" si="9"/>
        <v>-8950.22530100287</v>
      </c>
      <c r="V8" s="1">
        <f t="shared" si="10"/>
        <v>-8885.36073360741</v>
      </c>
      <c r="W8" s="1">
        <f t="shared" si="11"/>
        <v>-8368.062205041522</v>
      </c>
      <c r="X8" s="1">
        <f t="shared" si="12"/>
        <v>-7203.736013118827</v>
      </c>
    </row>
    <row r="9" spans="2:24" ht="12.75">
      <c r="B9">
        <v>4</v>
      </c>
      <c r="C9">
        <f t="shared" si="13"/>
        <v>39</v>
      </c>
      <c r="D9" s="94">
        <f>VLOOKUP(C9,Komutacni!$A$9:$B$110,2)</f>
        <v>0.002084363483967011</v>
      </c>
      <c r="E9" s="94">
        <f t="shared" si="14"/>
        <v>0.001935621561345934</v>
      </c>
      <c r="F9" s="94">
        <f t="shared" si="15"/>
        <v>0.9931344541741163</v>
      </c>
      <c r="G9">
        <f t="shared" si="1"/>
        <v>1</v>
      </c>
      <c r="H9" s="1">
        <f t="shared" si="0"/>
        <v>11917.613450089395</v>
      </c>
      <c r="I9" s="1">
        <f t="shared" si="2"/>
        <v>48000</v>
      </c>
      <c r="J9">
        <f t="shared" si="16"/>
        <v>625.4031977139939</v>
      </c>
      <c r="K9" s="11">
        <f t="shared" si="17"/>
        <v>1876.209593141982</v>
      </c>
      <c r="L9" s="11">
        <f t="shared" si="18"/>
        <v>92.90983494460482</v>
      </c>
      <c r="M9">
        <f t="shared" si="3"/>
        <v>0</v>
      </c>
      <c r="N9" s="1">
        <f t="shared" si="19"/>
        <v>-11292.2102523754</v>
      </c>
      <c r="O9" s="1">
        <f t="shared" si="4"/>
        <v>-11917.613450089395</v>
      </c>
      <c r="P9" s="1">
        <f t="shared" si="5"/>
        <v>-11824.70361514479</v>
      </c>
      <c r="Q9" s="1">
        <f t="shared" si="6"/>
        <v>-11292.2102523754</v>
      </c>
      <c r="R9" s="1">
        <f t="shared" si="7"/>
        <v>-10041.403856947412</v>
      </c>
      <c r="S9" s="1">
        <f t="shared" si="8"/>
        <v>2985.2102272063867</v>
      </c>
      <c r="U9" s="1">
        <f t="shared" si="9"/>
        <v>-8932.403222883007</v>
      </c>
      <c r="V9" s="1">
        <f t="shared" si="10"/>
        <v>-8839.493387938404</v>
      </c>
      <c r="W9" s="1">
        <f t="shared" si="11"/>
        <v>-8307.000025169014</v>
      </c>
      <c r="X9" s="1">
        <f t="shared" si="12"/>
        <v>-7056.193629741026</v>
      </c>
    </row>
    <row r="10" spans="2:24" ht="12.75">
      <c r="B10">
        <v>5</v>
      </c>
      <c r="C10">
        <f t="shared" si="13"/>
        <v>40</v>
      </c>
      <c r="D10" s="94">
        <f>VLOOKUP(C10,Komutacni!$A$9:$B$110,2)</f>
        <v>0.002360382105797365</v>
      </c>
      <c r="E10" s="94">
        <f t="shared" si="14"/>
        <v>0.002070053190950037</v>
      </c>
      <c r="F10" s="94">
        <f t="shared" si="15"/>
        <v>0.9910644009831663</v>
      </c>
      <c r="G10">
        <f t="shared" si="1"/>
        <v>1</v>
      </c>
      <c r="H10" s="1">
        <f t="shared" si="0"/>
        <v>11892.772811797995</v>
      </c>
      <c r="I10" s="1">
        <f t="shared" si="2"/>
        <v>60000</v>
      </c>
      <c r="J10">
        <f t="shared" si="16"/>
        <v>668.8383261023389</v>
      </c>
      <c r="K10" s="11">
        <f t="shared" si="17"/>
        <v>2006.5149783070167</v>
      </c>
      <c r="L10" s="11">
        <f t="shared" si="18"/>
        <v>124.20319145700223</v>
      </c>
      <c r="M10">
        <f t="shared" si="3"/>
        <v>0</v>
      </c>
      <c r="N10" s="1">
        <f t="shared" si="19"/>
        <v>-11223.934485695656</v>
      </c>
      <c r="O10" s="1">
        <f t="shared" si="4"/>
        <v>-11892.772811797995</v>
      </c>
      <c r="P10" s="1">
        <f t="shared" si="5"/>
        <v>-11768.569620340993</v>
      </c>
      <c r="Q10" s="1">
        <f t="shared" si="6"/>
        <v>-11223.934485695656</v>
      </c>
      <c r="R10" s="1">
        <f t="shared" si="7"/>
        <v>-9886.257833490978</v>
      </c>
      <c r="S10" s="1">
        <f t="shared" si="8"/>
        <v>2979.4033625223487</v>
      </c>
      <c r="U10" s="1">
        <f t="shared" si="9"/>
        <v>-8913.369449275646</v>
      </c>
      <c r="V10" s="1">
        <f t="shared" si="10"/>
        <v>-8789.166257818644</v>
      </c>
      <c r="W10" s="1">
        <f t="shared" si="11"/>
        <v>-8244.531123173307</v>
      </c>
      <c r="X10" s="1">
        <f t="shared" si="12"/>
        <v>-6906.854470968628</v>
      </c>
    </row>
    <row r="11" spans="2:24" ht="12.75">
      <c r="B11">
        <v>6</v>
      </c>
      <c r="C11">
        <f t="shared" si="13"/>
        <v>41</v>
      </c>
      <c r="D11" s="94">
        <f>VLOOKUP(C11,Komutacni!$A$9:$B$110,2)</f>
        <v>0.002610347693567938</v>
      </c>
      <c r="E11" s="94">
        <f t="shared" si="14"/>
        <v>0.00233929067777345</v>
      </c>
      <c r="F11" s="94">
        <f t="shared" si="15"/>
        <v>0.9887251103053928</v>
      </c>
      <c r="G11">
        <f t="shared" si="1"/>
        <v>1</v>
      </c>
      <c r="H11" s="1">
        <f t="shared" si="0"/>
        <v>11864.701323664713</v>
      </c>
      <c r="I11" s="1">
        <f t="shared" si="2"/>
        <v>72000</v>
      </c>
      <c r="J11">
        <f t="shared" si="16"/>
        <v>755.8294965699573</v>
      </c>
      <c r="K11" s="11">
        <f t="shared" si="17"/>
        <v>2267.488489709872</v>
      </c>
      <c r="L11" s="11">
        <f t="shared" si="18"/>
        <v>168.4289287996884</v>
      </c>
      <c r="M11">
        <f t="shared" si="3"/>
        <v>0</v>
      </c>
      <c r="N11" s="1">
        <f t="shared" si="19"/>
        <v>-11108.871827094756</v>
      </c>
      <c r="O11" s="1">
        <f t="shared" si="4"/>
        <v>-11864.701323664713</v>
      </c>
      <c r="P11" s="1">
        <f t="shared" si="5"/>
        <v>-11696.272394865024</v>
      </c>
      <c r="Q11" s="1">
        <f t="shared" si="6"/>
        <v>-11108.871827094756</v>
      </c>
      <c r="R11" s="1">
        <f t="shared" si="7"/>
        <v>-9597.21283395484</v>
      </c>
      <c r="S11" s="1">
        <f t="shared" si="8"/>
        <v>2973.1932029494988</v>
      </c>
      <c r="U11" s="1">
        <f t="shared" si="9"/>
        <v>-8891.508120715214</v>
      </c>
      <c r="V11" s="1">
        <f t="shared" si="10"/>
        <v>-8723.079191915525</v>
      </c>
      <c r="W11" s="1">
        <f t="shared" si="11"/>
        <v>-8135.678624145257</v>
      </c>
      <c r="X11" s="1">
        <f t="shared" si="12"/>
        <v>-6624.019631005342</v>
      </c>
    </row>
    <row r="12" spans="2:24" ht="12.75">
      <c r="B12">
        <v>7</v>
      </c>
      <c r="C12">
        <f t="shared" si="13"/>
        <v>42</v>
      </c>
      <c r="D12" s="94">
        <f>VLOOKUP(C12,Komutacni!$A$9:$B$110,2)</f>
        <v>0.0028282513969949408</v>
      </c>
      <c r="E12" s="94">
        <f t="shared" si="14"/>
        <v>0.0025809163112583875</v>
      </c>
      <c r="F12" s="94">
        <f t="shared" si="15"/>
        <v>0.9861441939941344</v>
      </c>
      <c r="G12">
        <f t="shared" si="1"/>
        <v>1</v>
      </c>
      <c r="H12" s="1">
        <f t="shared" si="0"/>
        <v>11833.730327929614</v>
      </c>
      <c r="I12" s="1">
        <f t="shared" si="2"/>
        <v>84000</v>
      </c>
      <c r="J12">
        <f t="shared" si="16"/>
        <v>833.8992220002075</v>
      </c>
      <c r="K12" s="11">
        <f t="shared" si="17"/>
        <v>2501.6976660006226</v>
      </c>
      <c r="L12" s="11">
        <f t="shared" si="18"/>
        <v>216.79697014570456</v>
      </c>
      <c r="M12">
        <f t="shared" si="3"/>
        <v>0</v>
      </c>
      <c r="N12" s="1">
        <f t="shared" si="19"/>
        <v>-10999.831105929406</v>
      </c>
      <c r="O12" s="1">
        <f t="shared" si="4"/>
        <v>-11833.730327929614</v>
      </c>
      <c r="P12" s="1">
        <f t="shared" si="5"/>
        <v>-11616.93335778391</v>
      </c>
      <c r="Q12" s="1">
        <f t="shared" si="6"/>
        <v>-10999.831105929406</v>
      </c>
      <c r="R12" s="1">
        <f t="shared" si="7"/>
        <v>-9332.032661928992</v>
      </c>
      <c r="S12" s="1">
        <f t="shared" si="8"/>
        <v>2966.175330916178</v>
      </c>
      <c r="U12" s="1">
        <f t="shared" si="9"/>
        <v>-8867.554997013436</v>
      </c>
      <c r="V12" s="1">
        <f t="shared" si="10"/>
        <v>-8650.758026867732</v>
      </c>
      <c r="W12" s="1">
        <f t="shared" si="11"/>
        <v>-8033.655775013229</v>
      </c>
      <c r="X12" s="1">
        <f t="shared" si="12"/>
        <v>-6365.857331012814</v>
      </c>
    </row>
    <row r="13" spans="2:24" ht="12.75">
      <c r="B13">
        <v>8</v>
      </c>
      <c r="C13">
        <f t="shared" si="13"/>
        <v>43</v>
      </c>
      <c r="D13" s="94">
        <f>VLOOKUP(C13,Komutacni!$A$9:$B$110,2)</f>
        <v>0.0029873078002157216</v>
      </c>
      <c r="E13" s="94">
        <f t="shared" si="14"/>
        <v>0.0027890636943023604</v>
      </c>
      <c r="F13" s="94">
        <f t="shared" si="15"/>
        <v>0.9833551302998321</v>
      </c>
      <c r="G13">
        <f t="shared" si="1"/>
        <v>1</v>
      </c>
      <c r="H13" s="1">
        <f t="shared" si="0"/>
        <v>11800.261563597986</v>
      </c>
      <c r="I13" s="1">
        <f t="shared" si="2"/>
        <v>96000</v>
      </c>
      <c r="J13">
        <f t="shared" si="16"/>
        <v>901.1520577564812</v>
      </c>
      <c r="K13" s="11">
        <f t="shared" si="17"/>
        <v>2703.4561732694438</v>
      </c>
      <c r="L13" s="11">
        <f t="shared" si="18"/>
        <v>267.7501146530266</v>
      </c>
      <c r="M13">
        <f t="shared" si="3"/>
        <v>0</v>
      </c>
      <c r="N13" s="1">
        <f t="shared" si="19"/>
        <v>-10899.109505841505</v>
      </c>
      <c r="O13" s="1">
        <f t="shared" si="4"/>
        <v>-11800.261563597986</v>
      </c>
      <c r="P13" s="1">
        <f t="shared" si="5"/>
        <v>-11532.511448944959</v>
      </c>
      <c r="Q13" s="1">
        <f t="shared" si="6"/>
        <v>-10899.109505841505</v>
      </c>
      <c r="R13" s="1">
        <f t="shared" si="7"/>
        <v>-9096.805390328542</v>
      </c>
      <c r="S13" s="1">
        <f t="shared" si="8"/>
        <v>2958.4325819824035</v>
      </c>
      <c r="U13" s="1">
        <f t="shared" si="9"/>
        <v>-8841.828981615581</v>
      </c>
      <c r="V13" s="1">
        <f t="shared" si="10"/>
        <v>-8574.078866962554</v>
      </c>
      <c r="W13" s="1">
        <f t="shared" si="11"/>
        <v>-7940.676923859101</v>
      </c>
      <c r="X13" s="1">
        <f t="shared" si="12"/>
        <v>-6138.372808346138</v>
      </c>
    </row>
    <row r="14" spans="2:24" ht="12.75">
      <c r="B14">
        <v>9</v>
      </c>
      <c r="C14">
        <f t="shared" si="13"/>
        <v>44</v>
      </c>
      <c r="D14" s="94">
        <f>VLOOKUP(C14,Komutacni!$A$9:$B$110,2)</f>
        <v>0.0032775140328502594</v>
      </c>
      <c r="E14" s="94">
        <f t="shared" si="14"/>
        <v>0.002937584451126836</v>
      </c>
      <c r="F14" s="94">
        <f t="shared" si="15"/>
        <v>0.9804175458487053</v>
      </c>
      <c r="G14">
        <f t="shared" si="1"/>
        <v>1</v>
      </c>
      <c r="H14" s="1">
        <f t="shared" si="0"/>
        <v>11765.010550184465</v>
      </c>
      <c r="I14" s="1">
        <f t="shared" si="2"/>
        <v>108000</v>
      </c>
      <c r="J14">
        <f t="shared" si="16"/>
        <v>949.139411327983</v>
      </c>
      <c r="K14" s="11">
        <f t="shared" si="17"/>
        <v>2847.418233983949</v>
      </c>
      <c r="L14" s="11">
        <f t="shared" si="18"/>
        <v>317.2591207216983</v>
      </c>
      <c r="M14">
        <f t="shared" si="3"/>
        <v>0</v>
      </c>
      <c r="N14" s="1">
        <f t="shared" si="19"/>
        <v>-10815.87113885648</v>
      </c>
      <c r="O14" s="1">
        <f t="shared" si="4"/>
        <v>-11765.010550184465</v>
      </c>
      <c r="P14" s="1">
        <f t="shared" si="5"/>
        <v>-11447.751429462765</v>
      </c>
      <c r="Q14" s="1">
        <f t="shared" si="6"/>
        <v>-10815.87113885648</v>
      </c>
      <c r="R14" s="1">
        <f t="shared" si="7"/>
        <v>-8917.592316200517</v>
      </c>
      <c r="S14" s="1">
        <f t="shared" si="8"/>
        <v>2950.0653908994964</v>
      </c>
      <c r="U14" s="1">
        <f t="shared" si="9"/>
        <v>-8814.94515928497</v>
      </c>
      <c r="V14" s="1">
        <f t="shared" si="10"/>
        <v>-8497.686038563268</v>
      </c>
      <c r="W14" s="1">
        <f t="shared" si="11"/>
        <v>-7865.805747956984</v>
      </c>
      <c r="X14" s="1">
        <f t="shared" si="12"/>
        <v>-5967.52692530102</v>
      </c>
    </row>
    <row r="15" spans="2:24" ht="12.75">
      <c r="B15">
        <v>10</v>
      </c>
      <c r="C15">
        <f t="shared" si="13"/>
        <v>45</v>
      </c>
      <c r="D15" s="94">
        <f>VLOOKUP(C15,Komutacni!$A$9:$B$110,2)</f>
        <v>0.003995849402304352</v>
      </c>
      <c r="E15" s="94">
        <f t="shared" si="14"/>
        <v>0.0032133322645717445</v>
      </c>
      <c r="F15" s="94">
        <f t="shared" si="15"/>
        <v>0.9772042135841336</v>
      </c>
      <c r="G15">
        <f t="shared" si="1"/>
        <v>1</v>
      </c>
      <c r="H15" s="1">
        <f t="shared" si="0"/>
        <v>11726.450563009603</v>
      </c>
      <c r="I15" s="1">
        <f t="shared" si="2"/>
        <v>120000</v>
      </c>
      <c r="J15">
        <f t="shared" si="16"/>
        <v>1038.2340813476599</v>
      </c>
      <c r="K15" s="11">
        <f t="shared" si="17"/>
        <v>3114.702244042979</v>
      </c>
      <c r="L15" s="11">
        <f t="shared" si="18"/>
        <v>385.59987174860936</v>
      </c>
      <c r="M15">
        <f t="shared" si="3"/>
        <v>0</v>
      </c>
      <c r="N15" s="1">
        <f t="shared" si="19"/>
        <v>-10688.216481661942</v>
      </c>
      <c r="O15" s="1">
        <f t="shared" si="4"/>
        <v>-11726.450563009603</v>
      </c>
      <c r="P15" s="1">
        <f t="shared" si="5"/>
        <v>-11340.850691260994</v>
      </c>
      <c r="Q15" s="1">
        <f t="shared" si="6"/>
        <v>-10688.216481661942</v>
      </c>
      <c r="R15" s="1">
        <f t="shared" si="7"/>
        <v>-8611.748318966624</v>
      </c>
      <c r="S15" s="1">
        <f t="shared" si="8"/>
        <v>2941.252637546116</v>
      </c>
      <c r="U15" s="1">
        <f t="shared" si="9"/>
        <v>-8785.197925463486</v>
      </c>
      <c r="V15" s="1">
        <f t="shared" si="10"/>
        <v>-8399.598053714877</v>
      </c>
      <c r="W15" s="1">
        <f t="shared" si="11"/>
        <v>-7746.963844115826</v>
      </c>
      <c r="X15" s="1">
        <f t="shared" si="12"/>
        <v>-5670.495681420507</v>
      </c>
    </row>
    <row r="16" spans="2:24" ht="12.75">
      <c r="B16">
        <v>11</v>
      </c>
      <c r="C16">
        <f t="shared" si="13"/>
        <v>46</v>
      </c>
      <c r="D16" s="94">
        <f>VLOOKUP(C16,Komutacni!$A$9:$B$110,2)</f>
        <v>0.0046308902325153944</v>
      </c>
      <c r="E16" s="94">
        <f t="shared" si="14"/>
        <v>0.003904760872779455</v>
      </c>
      <c r="F16" s="94">
        <f t="shared" si="15"/>
        <v>0.9732994527113541</v>
      </c>
      <c r="G16">
        <f t="shared" si="1"/>
        <v>1</v>
      </c>
      <c r="H16" s="1">
        <f t="shared" si="0"/>
        <v>11679.593432536249</v>
      </c>
      <c r="I16" s="1">
        <f t="shared" si="2"/>
        <v>132000</v>
      </c>
      <c r="J16">
        <f t="shared" si="16"/>
        <v>1261.6360475167874</v>
      </c>
      <c r="K16" s="11">
        <f t="shared" si="17"/>
        <v>3784.9081425503623</v>
      </c>
      <c r="L16" s="11">
        <f t="shared" si="18"/>
        <v>515.428435206888</v>
      </c>
      <c r="M16">
        <f t="shared" si="3"/>
        <v>0</v>
      </c>
      <c r="N16" s="1">
        <f t="shared" si="19"/>
        <v>-10417.957385019461</v>
      </c>
      <c r="O16" s="1">
        <f t="shared" si="4"/>
        <v>-11679.593432536249</v>
      </c>
      <c r="P16" s="1">
        <f t="shared" si="5"/>
        <v>-11164.16499732936</v>
      </c>
      <c r="Q16" s="1">
        <f t="shared" si="6"/>
        <v>-10417.957385019461</v>
      </c>
      <c r="R16" s="1">
        <f t="shared" si="7"/>
        <v>-7894.685289985886</v>
      </c>
      <c r="S16" s="1">
        <f t="shared" si="8"/>
        <v>2931.6126407524007</v>
      </c>
      <c r="U16" s="1">
        <f t="shared" si="9"/>
        <v>-8747.980791783848</v>
      </c>
      <c r="V16" s="1">
        <f t="shared" si="10"/>
        <v>-8232.55235657696</v>
      </c>
      <c r="W16" s="1">
        <f t="shared" si="11"/>
        <v>-7486.34474426706</v>
      </c>
      <c r="X16" s="1">
        <f t="shared" si="12"/>
        <v>-4963.072649233485</v>
      </c>
    </row>
    <row r="17" spans="2:24" ht="12.75">
      <c r="B17">
        <v>12</v>
      </c>
      <c r="C17">
        <f t="shared" si="13"/>
        <v>47</v>
      </c>
      <c r="D17" s="94">
        <f>VLOOKUP(C17,Komutacni!$A$9:$B$110,2)</f>
        <v>0.005306818255897516</v>
      </c>
      <c r="E17" s="94">
        <f t="shared" si="14"/>
        <v>0.004507242928873589</v>
      </c>
      <c r="F17" s="94">
        <f t="shared" si="15"/>
        <v>0.9687922097824805</v>
      </c>
      <c r="G17">
        <f t="shared" si="1"/>
        <v>1</v>
      </c>
      <c r="H17" s="1">
        <f t="shared" si="0"/>
        <v>11625.506517389766</v>
      </c>
      <c r="I17" s="1">
        <f t="shared" si="2"/>
        <v>144000</v>
      </c>
      <c r="J17">
        <f t="shared" si="16"/>
        <v>1456.2992048049143</v>
      </c>
      <c r="K17" s="11">
        <f t="shared" si="17"/>
        <v>4368.897614414743</v>
      </c>
      <c r="L17" s="11">
        <f t="shared" si="18"/>
        <v>649.0429817577968</v>
      </c>
      <c r="M17">
        <f t="shared" si="3"/>
        <v>0</v>
      </c>
      <c r="N17" s="1">
        <f t="shared" si="19"/>
        <v>-10169.207312584851</v>
      </c>
      <c r="O17" s="1">
        <f t="shared" si="4"/>
        <v>-11625.506517389766</v>
      </c>
      <c r="P17" s="1">
        <f t="shared" si="5"/>
        <v>-10976.463535631969</v>
      </c>
      <c r="Q17" s="1">
        <f t="shared" si="6"/>
        <v>-10169.207312584851</v>
      </c>
      <c r="R17" s="1">
        <f t="shared" si="7"/>
        <v>-7256.608902975023</v>
      </c>
      <c r="S17" s="1">
        <f t="shared" si="8"/>
        <v>2919.898358134062</v>
      </c>
      <c r="U17" s="1">
        <f t="shared" si="9"/>
        <v>-8705.608159255704</v>
      </c>
      <c r="V17" s="1">
        <f t="shared" si="10"/>
        <v>-8056.565177497907</v>
      </c>
      <c r="W17" s="1">
        <f t="shared" si="11"/>
        <v>-7249.308954450789</v>
      </c>
      <c r="X17" s="1">
        <f t="shared" si="12"/>
        <v>-4336.71054484096</v>
      </c>
    </row>
    <row r="18" spans="2:24" ht="12.75">
      <c r="B18">
        <v>13</v>
      </c>
      <c r="C18">
        <f t="shared" si="13"/>
        <v>48</v>
      </c>
      <c r="D18" s="94">
        <f>VLOOKUP(C18,Komutacni!$A$9:$B$110,2)</f>
        <v>0.0056434765109171225</v>
      </c>
      <c r="E18" s="94">
        <f t="shared" si="14"/>
        <v>0.005141204185044964</v>
      </c>
      <c r="F18" s="94">
        <f t="shared" si="15"/>
        <v>0.9636510055974356</v>
      </c>
      <c r="G18">
        <f t="shared" si="1"/>
        <v>1</v>
      </c>
      <c r="H18" s="1">
        <f t="shared" si="0"/>
        <v>11563.812067169227</v>
      </c>
      <c r="I18" s="1">
        <f t="shared" si="2"/>
        <v>156000</v>
      </c>
      <c r="J18">
        <f t="shared" si="16"/>
        <v>1661.1333545963978</v>
      </c>
      <c r="K18" s="11">
        <f t="shared" si="17"/>
        <v>4983.400063789193</v>
      </c>
      <c r="L18" s="11">
        <f t="shared" si="18"/>
        <v>802.0278528670143</v>
      </c>
      <c r="M18">
        <f t="shared" si="3"/>
        <v>0</v>
      </c>
      <c r="N18" s="1">
        <f t="shared" si="19"/>
        <v>-9902.67871257283</v>
      </c>
      <c r="O18" s="1">
        <f t="shared" si="4"/>
        <v>-11563.812067169227</v>
      </c>
      <c r="P18" s="1">
        <f t="shared" si="5"/>
        <v>-10761.784214302212</v>
      </c>
      <c r="Q18" s="1">
        <f t="shared" si="6"/>
        <v>-9902.67871257283</v>
      </c>
      <c r="R18" s="1">
        <f t="shared" si="7"/>
        <v>-6580.412003380034</v>
      </c>
      <c r="S18" s="1">
        <f t="shared" si="8"/>
        <v>2906.3766293474414</v>
      </c>
      <c r="U18" s="1">
        <f t="shared" si="9"/>
        <v>-8657.435437821785</v>
      </c>
      <c r="V18" s="1">
        <f t="shared" si="10"/>
        <v>-7855.40758495477</v>
      </c>
      <c r="W18" s="1">
        <f t="shared" si="11"/>
        <v>-6996.302083225388</v>
      </c>
      <c r="X18" s="1">
        <f t="shared" si="12"/>
        <v>-3674.0353740325922</v>
      </c>
    </row>
    <row r="19" spans="2:24" ht="12.75">
      <c r="B19">
        <v>14</v>
      </c>
      <c r="C19">
        <f t="shared" si="13"/>
        <v>49</v>
      </c>
      <c r="D19" s="94">
        <f>VLOOKUP(C19,Komutacni!$A$9:$B$110,2)</f>
        <v>0.006122665657883775</v>
      </c>
      <c r="E19" s="94">
        <f t="shared" si="14"/>
        <v>0.005438341814810792</v>
      </c>
      <c r="F19" s="94">
        <f t="shared" si="15"/>
        <v>0.9582126637826247</v>
      </c>
      <c r="G19">
        <f t="shared" si="1"/>
        <v>1</v>
      </c>
      <c r="H19" s="1">
        <f t="shared" si="0"/>
        <v>11498.551965391496</v>
      </c>
      <c r="I19" s="1">
        <f t="shared" si="2"/>
        <v>168000</v>
      </c>
      <c r="J19">
        <f t="shared" si="16"/>
        <v>1757.1391170489965</v>
      </c>
      <c r="K19" s="11">
        <f t="shared" si="17"/>
        <v>5271.41735114699</v>
      </c>
      <c r="L19" s="11">
        <f t="shared" si="18"/>
        <v>913.641424888213</v>
      </c>
      <c r="M19">
        <f t="shared" si="3"/>
        <v>0</v>
      </c>
      <c r="N19" s="1">
        <f t="shared" si="19"/>
        <v>-9741.4128483425</v>
      </c>
      <c r="O19" s="1">
        <f t="shared" si="4"/>
        <v>-11498.551965391496</v>
      </c>
      <c r="P19" s="1">
        <f t="shared" si="5"/>
        <v>-10584.910540503282</v>
      </c>
      <c r="Q19" s="1">
        <f t="shared" si="6"/>
        <v>-9741.4128483425</v>
      </c>
      <c r="R19" s="1">
        <f t="shared" si="7"/>
        <v>-6227.134614244506</v>
      </c>
      <c r="S19" s="1">
        <f t="shared" si="8"/>
        <v>2890.9530167923067</v>
      </c>
      <c r="U19" s="1">
        <f t="shared" si="9"/>
        <v>-8607.598948599189</v>
      </c>
      <c r="V19" s="1">
        <f t="shared" si="10"/>
        <v>-7693.957523710976</v>
      </c>
      <c r="W19" s="1">
        <f t="shared" si="11"/>
        <v>-6850.459831550193</v>
      </c>
      <c r="X19" s="1">
        <f t="shared" si="12"/>
        <v>-3336.1815974521996</v>
      </c>
    </row>
    <row r="20" spans="2:24" ht="12.75">
      <c r="B20">
        <v>15</v>
      </c>
      <c r="C20">
        <f t="shared" si="13"/>
        <v>50</v>
      </c>
      <c r="D20" s="94">
        <f>VLOOKUP(C20,Komutacni!$A$9:$B$110,2)</f>
        <v>0.006849409351221913</v>
      </c>
      <c r="E20" s="94">
        <f t="shared" si="14"/>
        <v>0.005866815769491208</v>
      </c>
      <c r="F20" s="94">
        <f t="shared" si="15"/>
        <v>0.9523458480131335</v>
      </c>
      <c r="G20">
        <f t="shared" si="1"/>
        <v>1</v>
      </c>
      <c r="H20" s="1">
        <f t="shared" si="0"/>
        <v>11428.150176157602</v>
      </c>
      <c r="I20" s="1">
        <f t="shared" si="2"/>
        <v>180000</v>
      </c>
      <c r="J20">
        <f t="shared" si="16"/>
        <v>1895.5799087541482</v>
      </c>
      <c r="K20" s="11">
        <f t="shared" si="17"/>
        <v>5686.7397262624445</v>
      </c>
      <c r="L20" s="11">
        <f t="shared" si="18"/>
        <v>1056.0268385084173</v>
      </c>
      <c r="M20">
        <f t="shared" si="3"/>
        <v>0</v>
      </c>
      <c r="N20" s="1">
        <f t="shared" si="19"/>
        <v>-9532.570267403455</v>
      </c>
      <c r="O20" s="1">
        <f t="shared" si="4"/>
        <v>-11428.150176157602</v>
      </c>
      <c r="P20" s="1">
        <f t="shared" si="5"/>
        <v>-10372.123337649184</v>
      </c>
      <c r="Q20" s="1">
        <f t="shared" si="6"/>
        <v>-9532.570267403455</v>
      </c>
      <c r="R20" s="1">
        <f t="shared" si="7"/>
        <v>-5741.410449895157</v>
      </c>
      <c r="S20" s="1">
        <f t="shared" si="8"/>
        <v>2874.637991347874</v>
      </c>
      <c r="U20" s="1">
        <f t="shared" si="9"/>
        <v>-8553.512184809728</v>
      </c>
      <c r="V20" s="1">
        <f t="shared" si="10"/>
        <v>-7497.48534630131</v>
      </c>
      <c r="W20" s="1">
        <f t="shared" si="11"/>
        <v>-6657.932276055581</v>
      </c>
      <c r="X20" s="1">
        <f t="shared" si="12"/>
        <v>-2866.7724585472833</v>
      </c>
    </row>
    <row r="21" spans="2:24" ht="12.75">
      <c r="B21">
        <v>16</v>
      </c>
      <c r="C21">
        <f t="shared" si="13"/>
        <v>51</v>
      </c>
      <c r="D21" s="94">
        <f>VLOOKUP(C21,Komutacni!$A$9:$B$110,2)</f>
        <v>0.007910080936601172</v>
      </c>
      <c r="E21" s="94">
        <f t="shared" si="14"/>
        <v>0.006523006556978519</v>
      </c>
      <c r="F21" s="94">
        <f t="shared" si="15"/>
        <v>0.9458228414561549</v>
      </c>
      <c r="G21">
        <f t="shared" si="1"/>
        <v>1</v>
      </c>
      <c r="H21" s="1">
        <f t="shared" si="0"/>
        <v>11349.87409747386</v>
      </c>
      <c r="I21" s="1">
        <f t="shared" si="2"/>
        <v>192000</v>
      </c>
      <c r="J21">
        <f t="shared" si="16"/>
        <v>2107.5964645728736</v>
      </c>
      <c r="K21" s="11">
        <f t="shared" si="17"/>
        <v>6322.789393718621</v>
      </c>
      <c r="L21" s="11">
        <f t="shared" si="18"/>
        <v>1252.4172589398756</v>
      </c>
      <c r="M21">
        <f t="shared" si="3"/>
        <v>0</v>
      </c>
      <c r="N21" s="1">
        <f t="shared" si="19"/>
        <v>-9242.277632900987</v>
      </c>
      <c r="O21" s="1">
        <f t="shared" si="4"/>
        <v>-11349.87409747386</v>
      </c>
      <c r="P21" s="1">
        <f t="shared" si="5"/>
        <v>-10097.456838533984</v>
      </c>
      <c r="Q21" s="1">
        <f t="shared" si="6"/>
        <v>-9242.277632900987</v>
      </c>
      <c r="R21" s="1">
        <f t="shared" si="7"/>
        <v>-5027.0847037552385</v>
      </c>
      <c r="S21" s="1">
        <f t="shared" si="8"/>
        <v>2857.0375440394005</v>
      </c>
      <c r="U21" s="1">
        <f t="shared" si="9"/>
        <v>-8492.83655343446</v>
      </c>
      <c r="V21" s="1">
        <f t="shared" si="10"/>
        <v>-7240.419294494584</v>
      </c>
      <c r="W21" s="1">
        <f t="shared" si="11"/>
        <v>-6385.240088861587</v>
      </c>
      <c r="X21" s="1">
        <f t="shared" si="12"/>
        <v>-2170.047159715838</v>
      </c>
    </row>
    <row r="22" spans="2:24" ht="12.75">
      <c r="B22">
        <v>17</v>
      </c>
      <c r="C22">
        <f t="shared" si="13"/>
        <v>52</v>
      </c>
      <c r="D22" s="94">
        <f>VLOOKUP(C22,Komutacni!$A$9:$B$110,2)</f>
        <v>0.008792097184972647</v>
      </c>
      <c r="E22" s="94">
        <f t="shared" si="14"/>
        <v>0.007481535227604284</v>
      </c>
      <c r="F22" s="94">
        <f t="shared" si="15"/>
        <v>0.9383413062285506</v>
      </c>
      <c r="G22">
        <f t="shared" si="1"/>
        <v>1</v>
      </c>
      <c r="H22" s="1">
        <f t="shared" si="0"/>
        <v>11260.095674742608</v>
      </c>
      <c r="I22" s="1">
        <f t="shared" si="2"/>
        <v>204000</v>
      </c>
      <c r="J22">
        <f t="shared" si="16"/>
        <v>2417.298995109399</v>
      </c>
      <c r="K22" s="11">
        <f t="shared" si="17"/>
        <v>7251.896985328198</v>
      </c>
      <c r="L22" s="11">
        <f t="shared" si="18"/>
        <v>1526.233186431274</v>
      </c>
      <c r="M22">
        <f t="shared" si="3"/>
        <v>0</v>
      </c>
      <c r="N22" s="1">
        <f t="shared" si="19"/>
        <v>-8842.79667963321</v>
      </c>
      <c r="O22" s="1">
        <f t="shared" si="4"/>
        <v>-11260.095674742608</v>
      </c>
      <c r="P22" s="1">
        <f t="shared" si="5"/>
        <v>-9733.862488311333</v>
      </c>
      <c r="Q22" s="1">
        <f t="shared" si="6"/>
        <v>-8842.79667963321</v>
      </c>
      <c r="R22" s="1">
        <f t="shared" si="7"/>
        <v>-4008.19868941441</v>
      </c>
      <c r="S22" s="1">
        <f t="shared" si="8"/>
        <v>2837.468524368465</v>
      </c>
      <c r="U22" s="1">
        <f t="shared" si="9"/>
        <v>-8422.627150374143</v>
      </c>
      <c r="V22" s="1">
        <f t="shared" si="10"/>
        <v>-6896.393963942868</v>
      </c>
      <c r="W22" s="1">
        <f t="shared" si="11"/>
        <v>-6005.328155264744</v>
      </c>
      <c r="X22" s="1">
        <f t="shared" si="12"/>
        <v>-1170.7301650459453</v>
      </c>
    </row>
    <row r="23" spans="2:24" ht="12.75">
      <c r="B23">
        <v>18</v>
      </c>
      <c r="C23">
        <f t="shared" si="13"/>
        <v>53</v>
      </c>
      <c r="D23" s="94">
        <f>VLOOKUP(C23,Komutacni!$A$9:$B$110,2)</f>
        <v>0.009821467637900039</v>
      </c>
      <c r="E23" s="94">
        <f t="shared" si="14"/>
        <v>0.008249987957035597</v>
      </c>
      <c r="F23" s="94">
        <f t="shared" si="15"/>
        <v>0.930091318271515</v>
      </c>
      <c r="G23">
        <f t="shared" si="1"/>
        <v>1</v>
      </c>
      <c r="H23" s="1">
        <f t="shared" si="0"/>
        <v>11161.09581925818</v>
      </c>
      <c r="I23" s="1">
        <f t="shared" si="2"/>
        <v>216000</v>
      </c>
      <c r="J23">
        <f t="shared" si="16"/>
        <v>2665.5876088941154</v>
      </c>
      <c r="K23" s="11">
        <f t="shared" si="17"/>
        <v>7996.762826682347</v>
      </c>
      <c r="L23" s="11">
        <f t="shared" si="18"/>
        <v>1781.9973987196888</v>
      </c>
      <c r="M23">
        <f t="shared" si="3"/>
        <v>0</v>
      </c>
      <c r="N23" s="1">
        <f t="shared" si="19"/>
        <v>-8495.508210364065</v>
      </c>
      <c r="O23" s="1">
        <f t="shared" si="4"/>
        <v>-11161.09581925818</v>
      </c>
      <c r="P23" s="1">
        <f t="shared" si="5"/>
        <v>-9379.098420538492</v>
      </c>
      <c r="Q23" s="1">
        <f t="shared" si="6"/>
        <v>-8495.508210364065</v>
      </c>
      <c r="R23" s="1">
        <f t="shared" si="7"/>
        <v>-3164.3329925758335</v>
      </c>
      <c r="S23" s="1">
        <f t="shared" si="8"/>
        <v>2815.023918685652</v>
      </c>
      <c r="U23" s="1">
        <f t="shared" si="9"/>
        <v>-8346.071900572528</v>
      </c>
      <c r="V23" s="1">
        <f t="shared" si="10"/>
        <v>-6564.07450185284</v>
      </c>
      <c r="W23" s="1">
        <f t="shared" si="11"/>
        <v>-5680.484291678413</v>
      </c>
      <c r="X23" s="1">
        <f t="shared" si="12"/>
        <v>-349.3090738901815</v>
      </c>
    </row>
    <row r="24" spans="2:24" ht="12.75">
      <c r="B24">
        <v>19</v>
      </c>
      <c r="C24">
        <f t="shared" si="13"/>
        <v>54</v>
      </c>
      <c r="D24" s="94">
        <f>VLOOKUP(C24,Komutacni!$A$9:$B$110,2)</f>
        <v>0.010554576647437197</v>
      </c>
      <c r="E24" s="94">
        <f t="shared" si="14"/>
        <v>0.00913486178269547</v>
      </c>
      <c r="F24" s="94">
        <f t="shared" si="15"/>
        <v>0.9209564564888195</v>
      </c>
      <c r="G24">
        <f t="shared" si="1"/>
        <v>1</v>
      </c>
      <c r="H24" s="1">
        <f t="shared" si="0"/>
        <v>11051.477477865834</v>
      </c>
      <c r="I24" s="1">
        <f t="shared" si="2"/>
        <v>228000</v>
      </c>
      <c r="J24">
        <f t="shared" si="16"/>
        <v>2951.492111712472</v>
      </c>
      <c r="K24" s="11">
        <f t="shared" si="17"/>
        <v>8854.476335137415</v>
      </c>
      <c r="L24" s="11">
        <f t="shared" si="18"/>
        <v>2082.7484864545672</v>
      </c>
      <c r="M24">
        <f t="shared" si="3"/>
        <v>0</v>
      </c>
      <c r="N24" s="1">
        <f t="shared" si="19"/>
        <v>-8099.985366153362</v>
      </c>
      <c r="O24" s="1">
        <f t="shared" si="4"/>
        <v>-11051.477477865834</v>
      </c>
      <c r="P24" s="1">
        <f t="shared" si="5"/>
        <v>-8968.728991411266</v>
      </c>
      <c r="Q24" s="1">
        <f t="shared" si="6"/>
        <v>-8099.985366153362</v>
      </c>
      <c r="R24" s="1">
        <f t="shared" si="7"/>
        <v>-2197.001142728419</v>
      </c>
      <c r="S24" s="1">
        <f t="shared" si="8"/>
        <v>2790.273954814545</v>
      </c>
      <c r="U24" s="1">
        <f t="shared" si="9"/>
        <v>-8261.203523051288</v>
      </c>
      <c r="V24" s="1">
        <f t="shared" si="10"/>
        <v>-6178.455036596721</v>
      </c>
      <c r="W24" s="1">
        <f t="shared" si="11"/>
        <v>-5309.711411338816</v>
      </c>
      <c r="X24" s="1">
        <f t="shared" si="12"/>
        <v>593.2728120861261</v>
      </c>
    </row>
    <row r="25" spans="2:24" ht="12.75">
      <c r="B25">
        <v>20</v>
      </c>
      <c r="C25">
        <f t="shared" si="13"/>
        <v>55</v>
      </c>
      <c r="D25" s="94">
        <f>VLOOKUP(C25,Komutacni!$A$9:$B$110,2)</f>
        <v>0.011443795083814101</v>
      </c>
      <c r="E25" s="94">
        <f t="shared" si="14"/>
        <v>0.009720305508963406</v>
      </c>
      <c r="F25" s="94">
        <f t="shared" si="15"/>
        <v>0.9112361509798561</v>
      </c>
      <c r="G25">
        <f t="shared" si="1"/>
        <v>1</v>
      </c>
      <c r="H25" s="1">
        <f t="shared" si="0"/>
        <v>10934.833811758273</v>
      </c>
      <c r="I25" s="1">
        <f t="shared" si="2"/>
        <v>240000</v>
      </c>
      <c r="J25">
        <f t="shared" si="16"/>
        <v>3140.6501505570945</v>
      </c>
      <c r="K25" s="11">
        <f t="shared" si="17"/>
        <v>9421.950451671284</v>
      </c>
      <c r="L25" s="11">
        <f t="shared" si="18"/>
        <v>2332.8733221512175</v>
      </c>
      <c r="M25">
        <f t="shared" si="3"/>
        <v>0</v>
      </c>
      <c r="N25" s="1">
        <f t="shared" si="19"/>
        <v>-7794.183661201179</v>
      </c>
      <c r="O25" s="1">
        <f t="shared" si="4"/>
        <v>-10934.833811758273</v>
      </c>
      <c r="P25" s="1">
        <f t="shared" si="5"/>
        <v>-8601.960489607056</v>
      </c>
      <c r="Q25" s="1">
        <f t="shared" si="6"/>
        <v>-7794.183661201179</v>
      </c>
      <c r="R25" s="1">
        <f t="shared" si="7"/>
        <v>-1512.8833600869893</v>
      </c>
      <c r="S25" s="1">
        <f t="shared" si="8"/>
        <v>2762.8693694664585</v>
      </c>
      <c r="U25" s="1">
        <f t="shared" si="9"/>
        <v>-8171.964442291815</v>
      </c>
      <c r="V25" s="1">
        <f t="shared" si="10"/>
        <v>-5839.091120140598</v>
      </c>
      <c r="W25" s="1">
        <f t="shared" si="11"/>
        <v>-5031.314291734721</v>
      </c>
      <c r="X25" s="1">
        <f t="shared" si="12"/>
        <v>1249.9860093794691</v>
      </c>
    </row>
    <row r="26" spans="2:24" ht="12.75">
      <c r="B26">
        <v>21</v>
      </c>
      <c r="C26">
        <f t="shared" si="13"/>
        <v>56</v>
      </c>
      <c r="D26" s="94">
        <f>VLOOKUP(C26,Komutacni!$A$9:$B$110,2)</f>
        <v>0.012443465985871871</v>
      </c>
      <c r="E26" s="94">
        <f t="shared" si="14"/>
        <v>0.01042799978477696</v>
      </c>
      <c r="F26" s="94">
        <f t="shared" si="15"/>
        <v>0.9008081511950792</v>
      </c>
      <c r="G26">
        <f t="shared" si="1"/>
        <v>1</v>
      </c>
      <c r="H26" s="1">
        <f t="shared" si="0"/>
        <v>10809.69781434095</v>
      </c>
      <c r="I26" s="1">
        <f t="shared" si="2"/>
        <v>252000</v>
      </c>
      <c r="J26">
        <f t="shared" si="16"/>
        <v>3369.3075864610055</v>
      </c>
      <c r="K26" s="11">
        <f t="shared" si="17"/>
        <v>10107.922759383016</v>
      </c>
      <c r="L26" s="11">
        <f t="shared" si="18"/>
        <v>2627.855945763794</v>
      </c>
      <c r="M26">
        <f t="shared" si="3"/>
        <v>0</v>
      </c>
      <c r="N26" s="1">
        <f t="shared" si="19"/>
        <v>-7440.390227879945</v>
      </c>
      <c r="O26" s="1">
        <f t="shared" si="4"/>
        <v>-10809.69781434095</v>
      </c>
      <c r="P26" s="1">
        <f t="shared" si="5"/>
        <v>-8181.841868577157</v>
      </c>
      <c r="Q26" s="1">
        <f t="shared" si="6"/>
        <v>-7440.390227879945</v>
      </c>
      <c r="R26" s="1">
        <f t="shared" si="7"/>
        <v>-701.7750549579341</v>
      </c>
      <c r="S26" s="1">
        <f t="shared" si="8"/>
        <v>2733.7084529395684</v>
      </c>
      <c r="U26" s="1">
        <f t="shared" si="9"/>
        <v>-8075.989361401382</v>
      </c>
      <c r="V26" s="1">
        <f t="shared" si="10"/>
        <v>-5448.133415637589</v>
      </c>
      <c r="W26" s="1">
        <f t="shared" si="11"/>
        <v>-4706.681774940376</v>
      </c>
      <c r="X26" s="1">
        <f t="shared" si="12"/>
        <v>2031.9333979816342</v>
      </c>
    </row>
    <row r="27" spans="2:24" ht="12.75">
      <c r="B27">
        <v>22</v>
      </c>
      <c r="C27">
        <f t="shared" si="13"/>
        <v>57</v>
      </c>
      <c r="D27" s="94">
        <f>VLOOKUP(C27,Komutacni!$A$9:$B$110,2)</f>
        <v>0.013825797858205036</v>
      </c>
      <c r="E27" s="94">
        <f t="shared" si="14"/>
        <v>0.011209175589192093</v>
      </c>
      <c r="F27" s="94">
        <f t="shared" si="15"/>
        <v>0.8895989756058871</v>
      </c>
      <c r="G27">
        <f t="shared" si="1"/>
        <v>1</v>
      </c>
      <c r="H27" s="1">
        <f t="shared" si="0"/>
        <v>10675.187707270645</v>
      </c>
      <c r="I27" s="1">
        <f t="shared" si="2"/>
        <v>264000</v>
      </c>
      <c r="J27">
        <f t="shared" si="16"/>
        <v>3621.7070512191435</v>
      </c>
      <c r="K27" s="11">
        <f t="shared" si="17"/>
        <v>10865.12115365743</v>
      </c>
      <c r="L27" s="11">
        <f t="shared" si="18"/>
        <v>2959.2223555467126</v>
      </c>
      <c r="M27">
        <f t="shared" si="3"/>
        <v>0</v>
      </c>
      <c r="N27" s="1">
        <f t="shared" si="19"/>
        <v>-7053.480656051501</v>
      </c>
      <c r="O27" s="1">
        <f t="shared" si="4"/>
        <v>-10675.187707270645</v>
      </c>
      <c r="P27" s="1">
        <f t="shared" si="5"/>
        <v>-7715.965351723932</v>
      </c>
      <c r="Q27" s="1">
        <f t="shared" si="6"/>
        <v>-7053.480656051501</v>
      </c>
      <c r="R27" s="1">
        <f t="shared" si="7"/>
        <v>189.93344638678536</v>
      </c>
      <c r="S27" s="1">
        <f t="shared" si="8"/>
        <v>2702.4244535852376</v>
      </c>
      <c r="U27" s="1">
        <f t="shared" si="9"/>
        <v>-7972.763253685407</v>
      </c>
      <c r="V27" s="1">
        <f t="shared" si="10"/>
        <v>-5013.5408981386945</v>
      </c>
      <c r="W27" s="1">
        <f t="shared" si="11"/>
        <v>-4351.056202466263</v>
      </c>
      <c r="X27" s="1">
        <f t="shared" si="12"/>
        <v>2892.357899972023</v>
      </c>
    </row>
    <row r="28" spans="2:24" ht="12.75">
      <c r="B28">
        <v>23</v>
      </c>
      <c r="C28">
        <f t="shared" si="13"/>
        <v>58</v>
      </c>
      <c r="D28" s="94">
        <f>VLOOKUP(C28,Komutacni!$A$9:$B$110,2)</f>
        <v>0.015348503948217407</v>
      </c>
      <c r="E28" s="94">
        <f t="shared" si="14"/>
        <v>0.012299415611593267</v>
      </c>
      <c r="F28" s="94">
        <f t="shared" si="15"/>
        <v>0.8772995599942938</v>
      </c>
      <c r="G28">
        <f t="shared" si="1"/>
        <v>1</v>
      </c>
      <c r="H28" s="1">
        <f t="shared" si="0"/>
        <v>10527.594719931525</v>
      </c>
      <c r="I28" s="1">
        <f t="shared" si="2"/>
        <v>276000</v>
      </c>
      <c r="J28">
        <f t="shared" si="16"/>
        <v>3973.9657829370076</v>
      </c>
      <c r="K28" s="11">
        <f t="shared" si="17"/>
        <v>11921.897348811022</v>
      </c>
      <c r="L28" s="11">
        <f t="shared" si="18"/>
        <v>3394.6387087997414</v>
      </c>
      <c r="M28">
        <f t="shared" si="3"/>
        <v>0</v>
      </c>
      <c r="N28" s="1">
        <f t="shared" si="19"/>
        <v>-6553.628936994517</v>
      </c>
      <c r="O28" s="1">
        <f t="shared" si="4"/>
        <v>-10527.594719931525</v>
      </c>
      <c r="P28" s="1">
        <f t="shared" si="5"/>
        <v>-7132.956011131784</v>
      </c>
      <c r="Q28" s="1">
        <f t="shared" si="6"/>
        <v>-6553.628936994517</v>
      </c>
      <c r="R28" s="1">
        <f t="shared" si="7"/>
        <v>1394.3026288794972</v>
      </c>
      <c r="S28" s="1">
        <f t="shared" si="8"/>
        <v>2668.796926817661</v>
      </c>
      <c r="U28" s="1">
        <f t="shared" si="9"/>
        <v>-7858.797793113864</v>
      </c>
      <c r="V28" s="1">
        <f t="shared" si="10"/>
        <v>-4464.159084314123</v>
      </c>
      <c r="W28" s="1">
        <f t="shared" si="11"/>
        <v>-3884.832010176856</v>
      </c>
      <c r="X28" s="1">
        <f t="shared" si="12"/>
        <v>4063.0995556971584</v>
      </c>
    </row>
    <row r="29" spans="2:24" ht="12.75">
      <c r="B29">
        <v>24</v>
      </c>
      <c r="C29">
        <f t="shared" si="13"/>
        <v>59</v>
      </c>
      <c r="D29" s="94">
        <f>VLOOKUP(C29,Komutacni!$A$9:$B$110,2)</f>
        <v>0.016774313021757803</v>
      </c>
      <c r="E29" s="94">
        <f t="shared" si="14"/>
        <v>0.013465235760341811</v>
      </c>
      <c r="F29" s="94">
        <f t="shared" si="15"/>
        <v>0.8638343242339519</v>
      </c>
      <c r="G29">
        <f t="shared" si="1"/>
        <v>1</v>
      </c>
      <c r="H29" s="1">
        <f t="shared" si="0"/>
        <v>10366.011890807424</v>
      </c>
      <c r="I29" s="1">
        <f t="shared" si="2"/>
        <v>288000</v>
      </c>
      <c r="J29">
        <f t="shared" si="16"/>
        <v>4350.64460463796</v>
      </c>
      <c r="K29" s="11">
        <f t="shared" si="17"/>
        <v>13051.93381391388</v>
      </c>
      <c r="L29" s="11">
        <f t="shared" si="18"/>
        <v>3877.9878989784415</v>
      </c>
      <c r="M29">
        <f t="shared" si="3"/>
        <v>0</v>
      </c>
      <c r="N29" s="1">
        <f t="shared" si="19"/>
        <v>-6015.367286169464</v>
      </c>
      <c r="O29" s="1">
        <f t="shared" si="4"/>
        <v>-10366.011890807424</v>
      </c>
      <c r="P29" s="1">
        <f t="shared" si="5"/>
        <v>-6488.023991828983</v>
      </c>
      <c r="Q29" s="1">
        <f t="shared" si="6"/>
        <v>-6015.367286169464</v>
      </c>
      <c r="R29" s="1">
        <f t="shared" si="7"/>
        <v>2685.9219231064562</v>
      </c>
      <c r="S29" s="1">
        <f t="shared" si="8"/>
        <v>2631.8986799828813</v>
      </c>
      <c r="U29" s="1">
        <f t="shared" si="9"/>
        <v>-7734.113210824542</v>
      </c>
      <c r="V29" s="1">
        <f t="shared" si="10"/>
        <v>-3856.1253118461013</v>
      </c>
      <c r="W29" s="1">
        <f t="shared" si="11"/>
        <v>-3383.4686061865827</v>
      </c>
      <c r="X29" s="1">
        <f t="shared" si="12"/>
        <v>5317.820603089338</v>
      </c>
    </row>
    <row r="30" spans="2:24" ht="12.75">
      <c r="B30">
        <v>25</v>
      </c>
      <c r="C30">
        <f t="shared" si="13"/>
        <v>60</v>
      </c>
      <c r="D30" s="94">
        <f>VLOOKUP(C30,Komutacni!$A$9:$B$110,2)</f>
        <v>0.018152137048176864</v>
      </c>
      <c r="E30" s="94">
        <f t="shared" si="14"/>
        <v>0.014490227353638932</v>
      </c>
      <c r="F30" s="94">
        <f t="shared" si="15"/>
        <v>0.849344096880313</v>
      </c>
      <c r="G30">
        <f t="shared" si="1"/>
        <v>1</v>
      </c>
      <c r="H30" s="1">
        <f t="shared" si="0"/>
        <v>0</v>
      </c>
      <c r="I30" s="1">
        <f t="shared" si="2"/>
        <v>300000</v>
      </c>
      <c r="J30">
        <f t="shared" si="16"/>
        <v>4681.821438415446</v>
      </c>
      <c r="K30" s="11">
        <f t="shared" si="17"/>
        <v>14045.464315246338</v>
      </c>
      <c r="L30" s="11">
        <f t="shared" si="18"/>
        <v>4347.06820609168</v>
      </c>
      <c r="M30">
        <f t="shared" si="3"/>
        <v>274424.7763902229</v>
      </c>
      <c r="N30" s="1">
        <f t="shared" si="19"/>
        <v>4681.821438415446</v>
      </c>
      <c r="O30" s="1">
        <f t="shared" si="4"/>
        <v>274424.7763902229</v>
      </c>
      <c r="P30" s="1">
        <f t="shared" si="5"/>
        <v>278771.8445963146</v>
      </c>
      <c r="Q30" s="1">
        <f t="shared" si="6"/>
        <v>279106.59782863833</v>
      </c>
      <c r="R30" s="1">
        <f t="shared" si="7"/>
        <v>288470.2407054692</v>
      </c>
      <c r="S30" s="1">
        <f t="shared" si="8"/>
        <v>-351.7291262174922</v>
      </c>
      <c r="U30" s="1">
        <f t="shared" si="9"/>
        <v>274073.0472640054</v>
      </c>
      <c r="V30" s="1">
        <f t="shared" si="10"/>
        <v>278420.1154700971</v>
      </c>
      <c r="W30" s="1">
        <f t="shared" si="11"/>
        <v>278754.86870242085</v>
      </c>
      <c r="X30" s="1">
        <f t="shared" si="12"/>
        <v>288118.51157925173</v>
      </c>
    </row>
    <row r="31" spans="2:24" ht="12.75">
      <c r="B31">
        <v>26</v>
      </c>
      <c r="C31">
        <f t="shared" si="13"/>
        <v>61</v>
      </c>
      <c r="D31" s="94">
        <f>VLOOKUP(C31,Komutacni!$A$9:$B$110,2)</f>
        <v>0.019671315604072204</v>
      </c>
      <c r="E31" s="94">
        <f t="shared" si="14"/>
        <v>0.015417410447631449</v>
      </c>
      <c r="F31" s="94">
        <f t="shared" si="15"/>
        <v>0.8339266864326815</v>
      </c>
      <c r="G31">
        <f t="shared" si="1"/>
        <v>0</v>
      </c>
      <c r="H31" s="1">
        <f t="shared" si="0"/>
        <v>0</v>
      </c>
      <c r="I31" s="1">
        <f t="shared" si="2"/>
        <v>0</v>
      </c>
      <c r="J31">
        <f t="shared" si="16"/>
        <v>0</v>
      </c>
      <c r="K31" s="11">
        <f t="shared" si="17"/>
        <v>0</v>
      </c>
      <c r="L31" s="11">
        <f t="shared" si="18"/>
        <v>0</v>
      </c>
      <c r="M31">
        <f t="shared" si="3"/>
        <v>0</v>
      </c>
      <c r="N31" s="1">
        <f t="shared" si="19"/>
        <v>0</v>
      </c>
      <c r="O31" s="1">
        <f t="shared" si="4"/>
        <v>0</v>
      </c>
      <c r="P31" s="1">
        <f t="shared" si="5"/>
        <v>0</v>
      </c>
      <c r="Q31" s="1">
        <f t="shared" si="6"/>
        <v>0</v>
      </c>
      <c r="R31" s="1">
        <f t="shared" si="7"/>
        <v>0</v>
      </c>
      <c r="S31" s="1">
        <f t="shared" si="8"/>
        <v>0</v>
      </c>
      <c r="U31" s="1">
        <f t="shared" si="9"/>
        <v>0</v>
      </c>
      <c r="V31" s="1">
        <f t="shared" si="10"/>
        <v>0</v>
      </c>
      <c r="W31" s="1">
        <f t="shared" si="11"/>
        <v>0</v>
      </c>
      <c r="X31" s="1">
        <f t="shared" si="12"/>
        <v>0</v>
      </c>
    </row>
    <row r="32" spans="2:24" ht="12.75">
      <c r="B32">
        <v>27</v>
      </c>
      <c r="C32">
        <f t="shared" si="13"/>
        <v>62</v>
      </c>
      <c r="D32" s="94">
        <f>VLOOKUP(C32,Komutacni!$A$9:$B$110,2)</f>
        <v>0.02075327352709666</v>
      </c>
      <c r="E32" s="94">
        <f t="shared" si="14"/>
        <v>0.016404435039475435</v>
      </c>
      <c r="F32" s="94">
        <f t="shared" si="15"/>
        <v>0.8175222513932061</v>
      </c>
      <c r="G32">
        <f t="shared" si="1"/>
        <v>0</v>
      </c>
      <c r="H32" s="1">
        <f t="shared" si="0"/>
        <v>0</v>
      </c>
      <c r="I32" s="1">
        <f t="shared" si="2"/>
        <v>0</v>
      </c>
      <c r="J32">
        <f t="shared" si="16"/>
        <v>0</v>
      </c>
      <c r="K32" s="11">
        <f t="shared" si="17"/>
        <v>0</v>
      </c>
      <c r="L32" s="11">
        <f t="shared" si="18"/>
        <v>0</v>
      </c>
      <c r="M32">
        <f t="shared" si="3"/>
        <v>0</v>
      </c>
      <c r="N32" s="1">
        <f t="shared" si="19"/>
        <v>0</v>
      </c>
      <c r="O32" s="1">
        <f t="shared" si="4"/>
        <v>0</v>
      </c>
      <c r="P32" s="1">
        <f t="shared" si="5"/>
        <v>0</v>
      </c>
      <c r="Q32" s="1">
        <f t="shared" si="6"/>
        <v>0</v>
      </c>
      <c r="R32" s="1">
        <f t="shared" si="7"/>
        <v>0</v>
      </c>
      <c r="S32" s="1">
        <f t="shared" si="8"/>
        <v>0</v>
      </c>
      <c r="U32" s="1">
        <f t="shared" si="9"/>
        <v>0</v>
      </c>
      <c r="V32" s="1">
        <f t="shared" si="10"/>
        <v>0</v>
      </c>
      <c r="W32" s="1">
        <f t="shared" si="11"/>
        <v>0</v>
      </c>
      <c r="X32" s="1">
        <f t="shared" si="12"/>
        <v>0</v>
      </c>
    </row>
    <row r="33" spans="2:24" ht="12.75">
      <c r="B33">
        <v>28</v>
      </c>
      <c r="C33">
        <f t="shared" si="13"/>
        <v>63</v>
      </c>
      <c r="D33" s="94">
        <f>VLOOKUP(C33,Komutacni!$A$9:$B$110,2)</f>
        <v>0.021891338150767714</v>
      </c>
      <c r="E33" s="94">
        <f t="shared" si="14"/>
        <v>0.016966262897651085</v>
      </c>
      <c r="F33" s="94">
        <f t="shared" si="15"/>
        <v>0.800555988495555</v>
      </c>
      <c r="G33">
        <f t="shared" si="1"/>
        <v>0</v>
      </c>
      <c r="H33" s="1">
        <f t="shared" si="0"/>
        <v>0</v>
      </c>
      <c r="I33" s="1">
        <f t="shared" si="2"/>
        <v>0</v>
      </c>
      <c r="J33">
        <f t="shared" si="16"/>
        <v>0</v>
      </c>
      <c r="K33" s="11">
        <f t="shared" si="17"/>
        <v>0</v>
      </c>
      <c r="L33" s="11">
        <f t="shared" si="18"/>
        <v>0</v>
      </c>
      <c r="M33">
        <f t="shared" si="3"/>
        <v>0</v>
      </c>
      <c r="N33" s="1">
        <f t="shared" si="19"/>
        <v>0</v>
      </c>
      <c r="O33" s="1">
        <f t="shared" si="4"/>
        <v>0</v>
      </c>
      <c r="P33" s="1">
        <f t="shared" si="5"/>
        <v>0</v>
      </c>
      <c r="Q33" s="1">
        <f t="shared" si="6"/>
        <v>0</v>
      </c>
      <c r="R33" s="1">
        <f t="shared" si="7"/>
        <v>0</v>
      </c>
      <c r="S33" s="1">
        <f t="shared" si="8"/>
        <v>0</v>
      </c>
      <c r="U33" s="1">
        <f t="shared" si="9"/>
        <v>0</v>
      </c>
      <c r="V33" s="1">
        <f t="shared" si="10"/>
        <v>0</v>
      </c>
      <c r="W33" s="1">
        <f t="shared" si="11"/>
        <v>0</v>
      </c>
      <c r="X33" s="1">
        <f t="shared" si="12"/>
        <v>0</v>
      </c>
    </row>
    <row r="34" spans="2:24" ht="12.75">
      <c r="B34">
        <v>29</v>
      </c>
      <c r="C34">
        <f t="shared" si="13"/>
        <v>64</v>
      </c>
      <c r="D34" s="94">
        <f>VLOOKUP(C34,Komutacni!$A$9:$B$110,2)</f>
        <v>0.024024721098692692</v>
      </c>
      <c r="E34" s="94">
        <f t="shared" si="14"/>
        <v>0.017525241852778303</v>
      </c>
      <c r="F34" s="94">
        <f t="shared" si="15"/>
        <v>0.7830307466427767</v>
      </c>
      <c r="G34">
        <f t="shared" si="1"/>
        <v>0</v>
      </c>
      <c r="H34" s="1">
        <f t="shared" si="0"/>
        <v>0</v>
      </c>
      <c r="I34" s="1">
        <f t="shared" si="2"/>
        <v>0</v>
      </c>
      <c r="J34">
        <f t="shared" si="16"/>
        <v>0</v>
      </c>
      <c r="K34" s="11">
        <f t="shared" si="17"/>
        <v>0</v>
      </c>
      <c r="L34" s="11">
        <f t="shared" si="18"/>
        <v>0</v>
      </c>
      <c r="M34">
        <f t="shared" si="3"/>
        <v>0</v>
      </c>
      <c r="N34" s="1">
        <f t="shared" si="19"/>
        <v>0</v>
      </c>
      <c r="O34" s="1">
        <f t="shared" si="4"/>
        <v>0</v>
      </c>
      <c r="P34" s="1">
        <f t="shared" si="5"/>
        <v>0</v>
      </c>
      <c r="Q34" s="1">
        <f t="shared" si="6"/>
        <v>0</v>
      </c>
      <c r="R34" s="1">
        <f t="shared" si="7"/>
        <v>0</v>
      </c>
      <c r="S34" s="1">
        <f t="shared" si="8"/>
        <v>0</v>
      </c>
      <c r="U34" s="1">
        <f t="shared" si="9"/>
        <v>0</v>
      </c>
      <c r="V34" s="1">
        <f t="shared" si="10"/>
        <v>0</v>
      </c>
      <c r="W34" s="1">
        <f t="shared" si="11"/>
        <v>0</v>
      </c>
      <c r="X34" s="1">
        <f t="shared" si="12"/>
        <v>0</v>
      </c>
    </row>
    <row r="35" spans="2:24" ht="12.75">
      <c r="B35">
        <v>30</v>
      </c>
      <c r="C35">
        <f t="shared" si="13"/>
        <v>65</v>
      </c>
      <c r="D35" s="94">
        <f>VLOOKUP(C35,Komutacni!$A$9:$B$110,2)</f>
        <v>0.026493334177534522</v>
      </c>
      <c r="E35" s="94">
        <f t="shared" si="14"/>
        <v>0.01881209529979381</v>
      </c>
      <c r="F35" s="94">
        <f t="shared" si="15"/>
        <v>0.764218651342983</v>
      </c>
      <c r="G35">
        <f t="shared" si="1"/>
        <v>0</v>
      </c>
      <c r="H35" s="1">
        <f t="shared" si="0"/>
        <v>0</v>
      </c>
      <c r="I35" s="1">
        <f t="shared" si="2"/>
        <v>0</v>
      </c>
      <c r="J35">
        <f t="shared" si="16"/>
        <v>0</v>
      </c>
      <c r="K35" s="11">
        <f t="shared" si="17"/>
        <v>0</v>
      </c>
      <c r="L35" s="11">
        <f t="shared" si="18"/>
        <v>0</v>
      </c>
      <c r="M35">
        <f t="shared" si="3"/>
        <v>0</v>
      </c>
      <c r="N35" s="1">
        <f t="shared" si="19"/>
        <v>0</v>
      </c>
      <c r="O35" s="1">
        <f t="shared" si="4"/>
        <v>0</v>
      </c>
      <c r="P35" s="1">
        <f t="shared" si="5"/>
        <v>0</v>
      </c>
      <c r="Q35" s="1">
        <f t="shared" si="6"/>
        <v>0</v>
      </c>
      <c r="R35" s="1">
        <f t="shared" si="7"/>
        <v>0</v>
      </c>
      <c r="S35" s="1">
        <f t="shared" si="8"/>
        <v>0</v>
      </c>
      <c r="U35" s="1">
        <f t="shared" si="9"/>
        <v>0</v>
      </c>
      <c r="V35" s="1">
        <f t="shared" si="10"/>
        <v>0</v>
      </c>
      <c r="W35" s="1">
        <f t="shared" si="11"/>
        <v>0</v>
      </c>
      <c r="X35" s="1">
        <f t="shared" si="12"/>
        <v>0</v>
      </c>
    </row>
    <row r="36" spans="2:24" ht="12.75">
      <c r="B36">
        <v>31</v>
      </c>
      <c r="C36">
        <f t="shared" si="13"/>
        <v>66</v>
      </c>
      <c r="D36" s="94">
        <f>VLOOKUP(C36,Komutacni!$A$9:$B$110,2)</f>
        <v>0.02922212915423661</v>
      </c>
      <c r="E36" s="94">
        <f t="shared" si="14"/>
        <v>0.020246700114734388</v>
      </c>
      <c r="F36" s="94">
        <f t="shared" si="15"/>
        <v>0.7439719512282486</v>
      </c>
      <c r="G36">
        <f t="shared" si="1"/>
        <v>0</v>
      </c>
      <c r="H36" s="1">
        <f t="shared" si="0"/>
        <v>0</v>
      </c>
      <c r="I36" s="1">
        <f t="shared" si="2"/>
        <v>0</v>
      </c>
      <c r="J36">
        <f t="shared" si="16"/>
        <v>0</v>
      </c>
      <c r="K36" s="11">
        <f t="shared" si="17"/>
        <v>0</v>
      </c>
      <c r="L36" s="11">
        <f t="shared" si="18"/>
        <v>0</v>
      </c>
      <c r="M36">
        <f t="shared" si="3"/>
        <v>0</v>
      </c>
      <c r="N36" s="1">
        <f t="shared" si="19"/>
        <v>0</v>
      </c>
      <c r="O36" s="1">
        <f t="shared" si="4"/>
        <v>0</v>
      </c>
      <c r="P36" s="1">
        <f t="shared" si="5"/>
        <v>0</v>
      </c>
      <c r="Q36" s="1">
        <f t="shared" si="6"/>
        <v>0</v>
      </c>
      <c r="R36" s="1">
        <f t="shared" si="7"/>
        <v>0</v>
      </c>
      <c r="S36" s="1">
        <f t="shared" si="8"/>
        <v>0</v>
      </c>
      <c r="U36" s="1">
        <f t="shared" si="9"/>
        <v>0</v>
      </c>
      <c r="V36" s="1">
        <f t="shared" si="10"/>
        <v>0</v>
      </c>
      <c r="W36" s="1">
        <f t="shared" si="11"/>
        <v>0</v>
      </c>
      <c r="X36" s="1">
        <f t="shared" si="12"/>
        <v>0</v>
      </c>
    </row>
    <row r="37" spans="2:24" ht="12.75">
      <c r="B37">
        <v>32</v>
      </c>
      <c r="C37">
        <f t="shared" si="13"/>
        <v>67</v>
      </c>
      <c r="D37" s="94">
        <f>VLOOKUP(C37,Komutacni!$A$9:$B$110,2)</f>
        <v>0.031887900205862296</v>
      </c>
      <c r="E37" s="94">
        <f t="shared" si="14"/>
        <v>0.021740444445921298</v>
      </c>
      <c r="F37" s="94">
        <f t="shared" si="15"/>
        <v>0.7222315067823273</v>
      </c>
      <c r="G37">
        <f t="shared" si="1"/>
        <v>0</v>
      </c>
      <c r="H37" s="1">
        <f aca="true" t="shared" si="20" ref="H37:H55">G38*F37*prem</f>
        <v>0</v>
      </c>
      <c r="I37" s="1">
        <f t="shared" si="2"/>
        <v>0</v>
      </c>
      <c r="J37">
        <f t="shared" si="16"/>
        <v>0</v>
      </c>
      <c r="K37" s="11">
        <f t="shared" si="17"/>
        <v>0</v>
      </c>
      <c r="L37" s="11">
        <f t="shared" si="18"/>
        <v>0</v>
      </c>
      <c r="M37">
        <f t="shared" si="3"/>
        <v>0</v>
      </c>
      <c r="N37" s="1">
        <f t="shared" si="19"/>
        <v>0</v>
      </c>
      <c r="O37" s="1">
        <f t="shared" si="4"/>
        <v>0</v>
      </c>
      <c r="P37" s="1">
        <f t="shared" si="5"/>
        <v>0</v>
      </c>
      <c r="Q37" s="1">
        <f t="shared" si="6"/>
        <v>0</v>
      </c>
      <c r="R37" s="1">
        <f t="shared" si="7"/>
        <v>0</v>
      </c>
      <c r="S37" s="1">
        <f t="shared" si="8"/>
        <v>0</v>
      </c>
      <c r="U37" s="1">
        <f t="shared" si="9"/>
        <v>0</v>
      </c>
      <c r="V37" s="1">
        <f t="shared" si="10"/>
        <v>0</v>
      </c>
      <c r="W37" s="1">
        <f t="shared" si="11"/>
        <v>0</v>
      </c>
      <c r="X37" s="1">
        <f t="shared" si="12"/>
        <v>0</v>
      </c>
    </row>
    <row r="38" spans="2:24" ht="12.75">
      <c r="B38">
        <v>33</v>
      </c>
      <c r="C38">
        <f t="shared" si="13"/>
        <v>68</v>
      </c>
      <c r="D38" s="94">
        <f>VLOOKUP(C38,Komutacni!$A$9:$B$110,2)</f>
        <v>0.03504005899418361</v>
      </c>
      <c r="E38" s="94">
        <f t="shared" si="14"/>
        <v>0.02303044621380441</v>
      </c>
      <c r="F38" s="94">
        <f t="shared" si="15"/>
        <v>0.6992010605685228</v>
      </c>
      <c r="G38">
        <f aca="true" t="shared" si="21" ref="G38:G55">IF(B38&gt;Dur,0,1)</f>
        <v>0</v>
      </c>
      <c r="H38" s="1">
        <f t="shared" si="20"/>
        <v>0</v>
      </c>
      <c r="I38" s="1">
        <f aca="true" t="shared" si="22" ref="I38:I55">G38*prem*B38</f>
        <v>0</v>
      </c>
      <c r="J38">
        <f t="shared" si="16"/>
        <v>0</v>
      </c>
      <c r="K38" s="11">
        <f t="shared" si="17"/>
        <v>0</v>
      </c>
      <c r="L38" s="11">
        <f t="shared" si="18"/>
        <v>0</v>
      </c>
      <c r="M38">
        <f aca="true" t="shared" si="23" ref="M38:M55">IF(B38=Dur,$M$2,0)*F38</f>
        <v>0</v>
      </c>
      <c r="N38" s="1">
        <f t="shared" si="19"/>
        <v>0</v>
      </c>
      <c r="O38" s="1">
        <f t="shared" si="4"/>
        <v>0</v>
      </c>
      <c r="P38" s="1">
        <f t="shared" si="5"/>
        <v>0</v>
      </c>
      <c r="Q38" s="1">
        <f t="shared" si="6"/>
        <v>0</v>
      </c>
      <c r="R38" s="1">
        <f t="shared" si="7"/>
        <v>0</v>
      </c>
      <c r="S38" s="1">
        <f aca="true" t="shared" si="24" ref="S38:S55">$S$1*F37*G38-IF(B38=Dur,$S$2,0)*F38</f>
        <v>0</v>
      </c>
      <c r="U38" s="1">
        <f t="shared" si="9"/>
        <v>0</v>
      </c>
      <c r="V38" s="1">
        <f t="shared" si="10"/>
        <v>0</v>
      </c>
      <c r="W38" s="1">
        <f t="shared" si="11"/>
        <v>0</v>
      </c>
      <c r="X38" s="1">
        <f t="shared" si="12"/>
        <v>0</v>
      </c>
    </row>
    <row r="39" spans="2:24" ht="12.75">
      <c r="B39">
        <v>34</v>
      </c>
      <c r="C39">
        <f t="shared" si="13"/>
        <v>69</v>
      </c>
      <c r="D39" s="94">
        <f>VLOOKUP(C39,Komutacni!$A$9:$B$110,2)</f>
        <v>0.037945198008876746</v>
      </c>
      <c r="E39" s="94">
        <f t="shared" si="14"/>
        <v>0.024500046411116787</v>
      </c>
      <c r="F39" s="94">
        <f t="shared" si="15"/>
        <v>0.674701014157406</v>
      </c>
      <c r="G39">
        <f t="shared" si="21"/>
        <v>0</v>
      </c>
      <c r="H39" s="1">
        <f t="shared" si="20"/>
        <v>0</v>
      </c>
      <c r="I39" s="1">
        <f t="shared" si="22"/>
        <v>0</v>
      </c>
      <c r="J39">
        <f t="shared" si="16"/>
        <v>0</v>
      </c>
      <c r="K39" s="11">
        <f t="shared" si="17"/>
        <v>0</v>
      </c>
      <c r="L39" s="11">
        <f t="shared" si="18"/>
        <v>0</v>
      </c>
      <c r="M39">
        <f t="shared" si="23"/>
        <v>0</v>
      </c>
      <c r="N39" s="1">
        <f t="shared" si="19"/>
        <v>0</v>
      </c>
      <c r="O39" s="1">
        <f t="shared" si="4"/>
        <v>0</v>
      </c>
      <c r="P39" s="1">
        <f t="shared" si="5"/>
        <v>0</v>
      </c>
      <c r="Q39" s="1">
        <f t="shared" si="6"/>
        <v>0</v>
      </c>
      <c r="R39" s="1">
        <f t="shared" si="7"/>
        <v>0</v>
      </c>
      <c r="S39" s="1">
        <f t="shared" si="24"/>
        <v>0</v>
      </c>
      <c r="U39" s="1">
        <f t="shared" si="9"/>
        <v>0</v>
      </c>
      <c r="V39" s="1">
        <f t="shared" si="10"/>
        <v>0</v>
      </c>
      <c r="W39" s="1">
        <f t="shared" si="11"/>
        <v>0</v>
      </c>
      <c r="X39" s="1">
        <f t="shared" si="12"/>
        <v>0</v>
      </c>
    </row>
    <row r="40" spans="2:24" ht="12.75">
      <c r="B40">
        <v>35</v>
      </c>
      <c r="C40">
        <f t="shared" si="13"/>
        <v>70</v>
      </c>
      <c r="D40" s="94">
        <f>VLOOKUP(C40,Komutacni!$A$9:$B$110,2)</f>
        <v>0.04108816762562639</v>
      </c>
      <c r="E40" s="94">
        <f t="shared" si="14"/>
        <v>0.025601663578992725</v>
      </c>
      <c r="F40" s="94">
        <f t="shared" si="15"/>
        <v>0.6490993505784133</v>
      </c>
      <c r="G40">
        <f t="shared" si="21"/>
        <v>0</v>
      </c>
      <c r="H40" s="1">
        <f t="shared" si="20"/>
        <v>0</v>
      </c>
      <c r="I40" s="1">
        <f t="shared" si="22"/>
        <v>0</v>
      </c>
      <c r="J40">
        <f t="shared" si="16"/>
        <v>0</v>
      </c>
      <c r="K40" s="11">
        <f t="shared" si="17"/>
        <v>0</v>
      </c>
      <c r="L40" s="11">
        <f t="shared" si="18"/>
        <v>0</v>
      </c>
      <c r="M40">
        <f t="shared" si="23"/>
        <v>0</v>
      </c>
      <c r="N40" s="1">
        <f t="shared" si="19"/>
        <v>0</v>
      </c>
      <c r="O40" s="1">
        <f t="shared" si="4"/>
        <v>0</v>
      </c>
      <c r="P40" s="1">
        <f t="shared" si="5"/>
        <v>0</v>
      </c>
      <c r="Q40" s="1">
        <f t="shared" si="6"/>
        <v>0</v>
      </c>
      <c r="R40" s="1">
        <f t="shared" si="7"/>
        <v>0</v>
      </c>
      <c r="S40" s="1">
        <f t="shared" si="24"/>
        <v>0</v>
      </c>
      <c r="U40" s="1">
        <f t="shared" si="9"/>
        <v>0</v>
      </c>
      <c r="V40" s="1">
        <f t="shared" si="10"/>
        <v>0</v>
      </c>
      <c r="W40" s="1">
        <f t="shared" si="11"/>
        <v>0</v>
      </c>
      <c r="X40" s="1">
        <f t="shared" si="12"/>
        <v>0</v>
      </c>
    </row>
    <row r="41" spans="2:24" ht="12.75">
      <c r="B41">
        <v>36</v>
      </c>
      <c r="C41">
        <f t="shared" si="13"/>
        <v>71</v>
      </c>
      <c r="D41" s="94">
        <f>VLOOKUP(C41,Komutacni!$A$9:$B$110,2)</f>
        <v>0.044237722052279826</v>
      </c>
      <c r="E41" s="94">
        <f t="shared" si="14"/>
        <v>0.026670302922251077</v>
      </c>
      <c r="F41" s="94">
        <f t="shared" si="15"/>
        <v>0.6224290476561622</v>
      </c>
      <c r="G41">
        <f t="shared" si="21"/>
        <v>0</v>
      </c>
      <c r="H41" s="1">
        <f t="shared" si="20"/>
        <v>0</v>
      </c>
      <c r="I41" s="1">
        <f t="shared" si="22"/>
        <v>0</v>
      </c>
      <c r="J41">
        <f t="shared" si="16"/>
        <v>0</v>
      </c>
      <c r="K41" s="11">
        <f t="shared" si="17"/>
        <v>0</v>
      </c>
      <c r="L41" s="11">
        <f t="shared" si="18"/>
        <v>0</v>
      </c>
      <c r="M41">
        <f t="shared" si="23"/>
        <v>0</v>
      </c>
      <c r="N41" s="1">
        <f t="shared" si="19"/>
        <v>0</v>
      </c>
      <c r="O41" s="1">
        <f t="shared" si="4"/>
        <v>0</v>
      </c>
      <c r="P41" s="1">
        <f t="shared" si="5"/>
        <v>0</v>
      </c>
      <c r="Q41" s="1">
        <f t="shared" si="6"/>
        <v>0</v>
      </c>
      <c r="R41" s="1">
        <f t="shared" si="7"/>
        <v>0</v>
      </c>
      <c r="S41" s="1">
        <f t="shared" si="24"/>
        <v>0</v>
      </c>
      <c r="U41" s="1">
        <f t="shared" si="9"/>
        <v>0</v>
      </c>
      <c r="V41" s="1">
        <f t="shared" si="10"/>
        <v>0</v>
      </c>
      <c r="W41" s="1">
        <f t="shared" si="11"/>
        <v>0</v>
      </c>
      <c r="X41" s="1">
        <f t="shared" si="12"/>
        <v>0</v>
      </c>
    </row>
    <row r="42" spans="2:24" ht="12.75">
      <c r="B42">
        <v>37</v>
      </c>
      <c r="C42">
        <f t="shared" si="13"/>
        <v>72</v>
      </c>
      <c r="D42" s="94">
        <f>VLOOKUP(C42,Komutacni!$A$9:$B$110,2)</f>
        <v>0.04756996364544819</v>
      </c>
      <c r="E42" s="94">
        <f t="shared" si="14"/>
        <v>0.02753484320747854</v>
      </c>
      <c r="F42" s="94">
        <f t="shared" si="15"/>
        <v>0.5948942044486837</v>
      </c>
      <c r="G42">
        <f t="shared" si="21"/>
        <v>0</v>
      </c>
      <c r="H42" s="1">
        <f t="shared" si="20"/>
        <v>0</v>
      </c>
      <c r="I42" s="1">
        <f t="shared" si="22"/>
        <v>0</v>
      </c>
      <c r="J42">
        <f t="shared" si="16"/>
        <v>0</v>
      </c>
      <c r="K42" s="11">
        <f t="shared" si="17"/>
        <v>0</v>
      </c>
      <c r="L42" s="11">
        <f t="shared" si="18"/>
        <v>0</v>
      </c>
      <c r="M42">
        <f t="shared" si="23"/>
        <v>0</v>
      </c>
      <c r="N42" s="1">
        <f t="shared" si="19"/>
        <v>0</v>
      </c>
      <c r="O42" s="1">
        <f t="shared" si="4"/>
        <v>0</v>
      </c>
      <c r="P42" s="1">
        <f t="shared" si="5"/>
        <v>0</v>
      </c>
      <c r="Q42" s="1">
        <f t="shared" si="6"/>
        <v>0</v>
      </c>
      <c r="R42" s="1">
        <f t="shared" si="7"/>
        <v>0</v>
      </c>
      <c r="S42" s="1">
        <f t="shared" si="24"/>
        <v>0</v>
      </c>
      <c r="U42" s="1">
        <f t="shared" si="9"/>
        <v>0</v>
      </c>
      <c r="V42" s="1">
        <f t="shared" si="10"/>
        <v>0</v>
      </c>
      <c r="W42" s="1">
        <f t="shared" si="11"/>
        <v>0</v>
      </c>
      <c r="X42" s="1">
        <f t="shared" si="12"/>
        <v>0</v>
      </c>
    </row>
    <row r="43" spans="2:24" ht="12.75">
      <c r="B43">
        <v>38</v>
      </c>
      <c r="C43">
        <f t="shared" si="13"/>
        <v>73</v>
      </c>
      <c r="D43" s="94">
        <f>VLOOKUP(C43,Komutacni!$A$9:$B$110,2)</f>
        <v>0.05098040257972558</v>
      </c>
      <c r="E43" s="94">
        <f t="shared" si="14"/>
        <v>0.028299095678511705</v>
      </c>
      <c r="F43" s="94">
        <f t="shared" si="15"/>
        <v>0.5665951087701719</v>
      </c>
      <c r="G43">
        <f t="shared" si="21"/>
        <v>0</v>
      </c>
      <c r="H43" s="1">
        <f t="shared" si="20"/>
        <v>0</v>
      </c>
      <c r="I43" s="1">
        <f t="shared" si="22"/>
        <v>0</v>
      </c>
      <c r="J43">
        <f t="shared" si="16"/>
        <v>0</v>
      </c>
      <c r="K43" s="11">
        <f t="shared" si="17"/>
        <v>0</v>
      </c>
      <c r="L43" s="11">
        <f t="shared" si="18"/>
        <v>0</v>
      </c>
      <c r="M43">
        <f t="shared" si="23"/>
        <v>0</v>
      </c>
      <c r="N43" s="1">
        <f t="shared" si="19"/>
        <v>0</v>
      </c>
      <c r="O43" s="1">
        <f t="shared" si="4"/>
        <v>0</v>
      </c>
      <c r="P43" s="1">
        <f t="shared" si="5"/>
        <v>0</v>
      </c>
      <c r="Q43" s="1">
        <f t="shared" si="6"/>
        <v>0</v>
      </c>
      <c r="R43" s="1">
        <f t="shared" si="7"/>
        <v>0</v>
      </c>
      <c r="S43" s="1">
        <f t="shared" si="24"/>
        <v>0</v>
      </c>
      <c r="U43" s="1">
        <f t="shared" si="9"/>
        <v>0</v>
      </c>
      <c r="V43" s="1">
        <f t="shared" si="10"/>
        <v>0</v>
      </c>
      <c r="W43" s="1">
        <f t="shared" si="11"/>
        <v>0</v>
      </c>
      <c r="X43" s="1">
        <f t="shared" si="12"/>
        <v>0</v>
      </c>
    </row>
    <row r="44" spans="2:24" ht="12.75">
      <c r="B44">
        <v>39</v>
      </c>
      <c r="C44">
        <f t="shared" si="13"/>
        <v>74</v>
      </c>
      <c r="D44" s="94">
        <f>VLOOKUP(C44,Komutacni!$A$9:$B$110,2)</f>
        <v>0.056861717854665095</v>
      </c>
      <c r="E44" s="94">
        <f t="shared" si="14"/>
        <v>0.028885246744806768</v>
      </c>
      <c r="F44" s="94">
        <f t="shared" si="15"/>
        <v>0.5377098620253652</v>
      </c>
      <c r="G44">
        <f t="shared" si="21"/>
        <v>0</v>
      </c>
      <c r="H44" s="1">
        <f t="shared" si="20"/>
        <v>0</v>
      </c>
      <c r="I44" s="1">
        <f t="shared" si="22"/>
        <v>0</v>
      </c>
      <c r="J44">
        <f t="shared" si="16"/>
        <v>0</v>
      </c>
      <c r="K44" s="11">
        <f t="shared" si="17"/>
        <v>0</v>
      </c>
      <c r="L44" s="11">
        <f t="shared" si="18"/>
        <v>0</v>
      </c>
      <c r="M44">
        <f t="shared" si="23"/>
        <v>0</v>
      </c>
      <c r="N44" s="1">
        <f t="shared" si="19"/>
        <v>0</v>
      </c>
      <c r="O44" s="1">
        <f t="shared" si="4"/>
        <v>0</v>
      </c>
      <c r="P44" s="1">
        <f t="shared" si="5"/>
        <v>0</v>
      </c>
      <c r="Q44" s="1">
        <f t="shared" si="6"/>
        <v>0</v>
      </c>
      <c r="R44" s="1">
        <f t="shared" si="7"/>
        <v>0</v>
      </c>
      <c r="S44" s="1">
        <f t="shared" si="24"/>
        <v>0</v>
      </c>
      <c r="U44" s="1">
        <f t="shared" si="9"/>
        <v>0</v>
      </c>
      <c r="V44" s="1">
        <f t="shared" si="10"/>
        <v>0</v>
      </c>
      <c r="W44" s="1">
        <f t="shared" si="11"/>
        <v>0</v>
      </c>
      <c r="X44" s="1">
        <f t="shared" si="12"/>
        <v>0</v>
      </c>
    </row>
    <row r="45" spans="2:24" ht="12.75">
      <c r="B45">
        <v>40</v>
      </c>
      <c r="C45">
        <f t="shared" si="13"/>
        <v>75</v>
      </c>
      <c r="D45" s="94">
        <f>VLOOKUP(C45,Komutacni!$A$9:$B$110,2)</f>
        <v>0.06308207294597756</v>
      </c>
      <c r="E45" s="94">
        <f t="shared" si="14"/>
        <v>0.030575106462157213</v>
      </c>
      <c r="F45" s="94">
        <f t="shared" si="15"/>
        <v>0.507134755563208</v>
      </c>
      <c r="G45">
        <f t="shared" si="21"/>
        <v>0</v>
      </c>
      <c r="H45" s="1">
        <f t="shared" si="20"/>
        <v>0</v>
      </c>
      <c r="I45" s="1">
        <f t="shared" si="22"/>
        <v>0</v>
      </c>
      <c r="J45">
        <f t="shared" si="16"/>
        <v>0</v>
      </c>
      <c r="K45" s="11">
        <f t="shared" si="17"/>
        <v>0</v>
      </c>
      <c r="L45" s="11">
        <f t="shared" si="18"/>
        <v>0</v>
      </c>
      <c r="M45">
        <f t="shared" si="23"/>
        <v>0</v>
      </c>
      <c r="N45" s="1">
        <f t="shared" si="19"/>
        <v>0</v>
      </c>
      <c r="O45" s="1">
        <f t="shared" si="4"/>
        <v>0</v>
      </c>
      <c r="P45" s="1">
        <f t="shared" si="5"/>
        <v>0</v>
      </c>
      <c r="Q45" s="1">
        <f t="shared" si="6"/>
        <v>0</v>
      </c>
      <c r="R45" s="1">
        <f t="shared" si="7"/>
        <v>0</v>
      </c>
      <c r="S45" s="1">
        <f t="shared" si="24"/>
        <v>0</v>
      </c>
      <c r="U45" s="1">
        <f t="shared" si="9"/>
        <v>0</v>
      </c>
      <c r="V45" s="1">
        <f t="shared" si="10"/>
        <v>0</v>
      </c>
      <c r="W45" s="1">
        <f t="shared" si="11"/>
        <v>0</v>
      </c>
      <c r="X45" s="1">
        <f t="shared" si="12"/>
        <v>0</v>
      </c>
    </row>
    <row r="46" spans="2:24" ht="12.75">
      <c r="B46">
        <v>41</v>
      </c>
      <c r="C46">
        <f t="shared" si="13"/>
        <v>76</v>
      </c>
      <c r="D46" s="94">
        <f>VLOOKUP(C46,Komutacni!$A$9:$B$110,2)</f>
        <v>0.06971758076506884</v>
      </c>
      <c r="E46" s="94">
        <f t="shared" si="14"/>
        <v>0.031991111643878786</v>
      </c>
      <c r="F46" s="94">
        <f t="shared" si="15"/>
        <v>0.4751436439193292</v>
      </c>
      <c r="G46">
        <f t="shared" si="21"/>
        <v>0</v>
      </c>
      <c r="H46" s="1">
        <f t="shared" si="20"/>
        <v>0</v>
      </c>
      <c r="I46" s="1">
        <f t="shared" si="22"/>
        <v>0</v>
      </c>
      <c r="J46">
        <f t="shared" si="16"/>
        <v>0</v>
      </c>
      <c r="K46" s="11">
        <f t="shared" si="17"/>
        <v>0</v>
      </c>
      <c r="L46" s="11">
        <f t="shared" si="18"/>
        <v>0</v>
      </c>
      <c r="M46">
        <f t="shared" si="23"/>
        <v>0</v>
      </c>
      <c r="N46" s="1">
        <f t="shared" si="19"/>
        <v>0</v>
      </c>
      <c r="O46" s="1">
        <f t="shared" si="4"/>
        <v>0</v>
      </c>
      <c r="P46" s="1">
        <f t="shared" si="5"/>
        <v>0</v>
      </c>
      <c r="Q46" s="1">
        <f t="shared" si="6"/>
        <v>0</v>
      </c>
      <c r="R46" s="1">
        <f t="shared" si="7"/>
        <v>0</v>
      </c>
      <c r="S46" s="1">
        <f t="shared" si="24"/>
        <v>0</v>
      </c>
      <c r="U46" s="1">
        <f t="shared" si="9"/>
        <v>0</v>
      </c>
      <c r="V46" s="1">
        <f t="shared" si="10"/>
        <v>0</v>
      </c>
      <c r="W46" s="1">
        <f t="shared" si="11"/>
        <v>0</v>
      </c>
      <c r="X46" s="1">
        <f t="shared" si="12"/>
        <v>0</v>
      </c>
    </row>
    <row r="47" spans="2:24" ht="12.75">
      <c r="B47">
        <v>42</v>
      </c>
      <c r="C47">
        <f t="shared" si="13"/>
        <v>77</v>
      </c>
      <c r="D47" s="94">
        <f>VLOOKUP(C47,Komutacni!$A$9:$B$110,2)</f>
        <v>0.0763093384731679</v>
      </c>
      <c r="E47" s="94">
        <f t="shared" si="14"/>
        <v>0.033125865369954946</v>
      </c>
      <c r="F47" s="94">
        <f t="shared" si="15"/>
        <v>0.44201777854937424</v>
      </c>
      <c r="G47">
        <f t="shared" si="21"/>
        <v>0</v>
      </c>
      <c r="H47" s="1">
        <f t="shared" si="20"/>
        <v>0</v>
      </c>
      <c r="I47" s="1">
        <f t="shared" si="22"/>
        <v>0</v>
      </c>
      <c r="J47">
        <f t="shared" si="16"/>
        <v>0</v>
      </c>
      <c r="K47" s="11">
        <f t="shared" si="17"/>
        <v>0</v>
      </c>
      <c r="L47" s="11">
        <f t="shared" si="18"/>
        <v>0</v>
      </c>
      <c r="M47">
        <f t="shared" si="23"/>
        <v>0</v>
      </c>
      <c r="N47" s="1">
        <f t="shared" si="19"/>
        <v>0</v>
      </c>
      <c r="O47" s="1">
        <f t="shared" si="4"/>
        <v>0</v>
      </c>
      <c r="P47" s="1">
        <f t="shared" si="5"/>
        <v>0</v>
      </c>
      <c r="Q47" s="1">
        <f t="shared" si="6"/>
        <v>0</v>
      </c>
      <c r="R47" s="1">
        <f t="shared" si="7"/>
        <v>0</v>
      </c>
      <c r="S47" s="1">
        <f t="shared" si="24"/>
        <v>0</v>
      </c>
      <c r="U47" s="1">
        <f t="shared" si="9"/>
        <v>0</v>
      </c>
      <c r="V47" s="1">
        <f t="shared" si="10"/>
        <v>0</v>
      </c>
      <c r="W47" s="1">
        <f t="shared" si="11"/>
        <v>0</v>
      </c>
      <c r="X47" s="1">
        <f t="shared" si="12"/>
        <v>0</v>
      </c>
    </row>
    <row r="48" spans="2:24" ht="12.75">
      <c r="B48">
        <v>43</v>
      </c>
      <c r="C48">
        <f t="shared" si="13"/>
        <v>78</v>
      </c>
      <c r="D48" s="94">
        <f>VLOOKUP(C48,Komutacni!$A$9:$B$110,2)</f>
        <v>0.0835521774728114</v>
      </c>
      <c r="E48" s="94">
        <f t="shared" si="14"/>
        <v>0.03373008427448197</v>
      </c>
      <c r="F48" s="94">
        <f t="shared" si="15"/>
        <v>0.40828769427489225</v>
      </c>
      <c r="G48">
        <f t="shared" si="21"/>
        <v>0</v>
      </c>
      <c r="H48" s="1">
        <f t="shared" si="20"/>
        <v>0</v>
      </c>
      <c r="I48" s="1">
        <f t="shared" si="22"/>
        <v>0</v>
      </c>
      <c r="J48">
        <f t="shared" si="16"/>
        <v>0</v>
      </c>
      <c r="K48" s="11">
        <f t="shared" si="17"/>
        <v>0</v>
      </c>
      <c r="L48" s="11">
        <f t="shared" si="18"/>
        <v>0</v>
      </c>
      <c r="M48">
        <f t="shared" si="23"/>
        <v>0</v>
      </c>
      <c r="N48" s="1">
        <f t="shared" si="19"/>
        <v>0</v>
      </c>
      <c r="O48" s="1">
        <f t="shared" si="4"/>
        <v>0</v>
      </c>
      <c r="P48" s="1">
        <f t="shared" si="5"/>
        <v>0</v>
      </c>
      <c r="Q48" s="1">
        <f t="shared" si="6"/>
        <v>0</v>
      </c>
      <c r="R48" s="1">
        <f t="shared" si="7"/>
        <v>0</v>
      </c>
      <c r="S48" s="1">
        <f t="shared" si="24"/>
        <v>0</v>
      </c>
      <c r="U48" s="1">
        <f t="shared" si="9"/>
        <v>0</v>
      </c>
      <c r="V48" s="1">
        <f t="shared" si="10"/>
        <v>0</v>
      </c>
      <c r="W48" s="1">
        <f t="shared" si="11"/>
        <v>0</v>
      </c>
      <c r="X48" s="1">
        <f t="shared" si="12"/>
        <v>0</v>
      </c>
    </row>
    <row r="49" spans="2:24" ht="12.75">
      <c r="B49">
        <v>44</v>
      </c>
      <c r="C49">
        <f t="shared" si="13"/>
        <v>79</v>
      </c>
      <c r="D49" s="94">
        <f>VLOOKUP(C49,Komutacni!$A$9:$B$110,2)</f>
        <v>0.09166547976112305</v>
      </c>
      <c r="E49" s="94">
        <f t="shared" si="14"/>
        <v>0.03411332589202076</v>
      </c>
      <c r="F49" s="94">
        <f t="shared" si="15"/>
        <v>0.3741743683828715</v>
      </c>
      <c r="G49">
        <f t="shared" si="21"/>
        <v>0</v>
      </c>
      <c r="H49" s="1">
        <f t="shared" si="20"/>
        <v>0</v>
      </c>
      <c r="I49" s="1">
        <f t="shared" si="22"/>
        <v>0</v>
      </c>
      <c r="J49">
        <f t="shared" si="16"/>
        <v>0</v>
      </c>
      <c r="K49" s="11">
        <f t="shared" si="17"/>
        <v>0</v>
      </c>
      <c r="L49" s="11">
        <f t="shared" si="18"/>
        <v>0</v>
      </c>
      <c r="M49">
        <f t="shared" si="23"/>
        <v>0</v>
      </c>
      <c r="N49" s="1">
        <f t="shared" si="19"/>
        <v>0</v>
      </c>
      <c r="O49" s="1">
        <f t="shared" si="4"/>
        <v>0</v>
      </c>
      <c r="P49" s="1">
        <f t="shared" si="5"/>
        <v>0</v>
      </c>
      <c r="Q49" s="1">
        <f t="shared" si="6"/>
        <v>0</v>
      </c>
      <c r="R49" s="1">
        <f t="shared" si="7"/>
        <v>0</v>
      </c>
      <c r="S49" s="1">
        <f t="shared" si="24"/>
        <v>0</v>
      </c>
      <c r="U49" s="1">
        <f t="shared" si="9"/>
        <v>0</v>
      </c>
      <c r="V49" s="1">
        <f t="shared" si="10"/>
        <v>0</v>
      </c>
      <c r="W49" s="1">
        <f t="shared" si="11"/>
        <v>0</v>
      </c>
      <c r="X49" s="1">
        <f t="shared" si="12"/>
        <v>0</v>
      </c>
    </row>
    <row r="50" spans="2:24" ht="12.75">
      <c r="B50">
        <v>45</v>
      </c>
      <c r="C50">
        <f t="shared" si="13"/>
        <v>80</v>
      </c>
      <c r="D50" s="94">
        <f>VLOOKUP(C50,Komutacni!$A$9:$B$110,2)</f>
        <v>0.10078060151206325</v>
      </c>
      <c r="E50" s="94">
        <f t="shared" si="14"/>
        <v>0.03429887299213111</v>
      </c>
      <c r="F50" s="94">
        <f t="shared" si="15"/>
        <v>0.33987549539074036</v>
      </c>
      <c r="G50">
        <f t="shared" si="21"/>
        <v>0</v>
      </c>
      <c r="H50" s="1">
        <f t="shared" si="20"/>
        <v>0</v>
      </c>
      <c r="I50" s="1">
        <f t="shared" si="22"/>
        <v>0</v>
      </c>
      <c r="J50">
        <f t="shared" si="16"/>
        <v>0</v>
      </c>
      <c r="K50" s="11">
        <f t="shared" si="17"/>
        <v>0</v>
      </c>
      <c r="L50" s="11">
        <f t="shared" si="18"/>
        <v>0</v>
      </c>
      <c r="M50">
        <f t="shared" si="23"/>
        <v>0</v>
      </c>
      <c r="N50" s="1">
        <f t="shared" si="19"/>
        <v>0</v>
      </c>
      <c r="O50" s="1">
        <f t="shared" si="4"/>
        <v>0</v>
      </c>
      <c r="P50" s="1">
        <f t="shared" si="5"/>
        <v>0</v>
      </c>
      <c r="Q50" s="1">
        <f t="shared" si="6"/>
        <v>0</v>
      </c>
      <c r="R50" s="1">
        <f t="shared" si="7"/>
        <v>0</v>
      </c>
      <c r="S50" s="1">
        <f t="shared" si="24"/>
        <v>0</v>
      </c>
      <c r="U50" s="1">
        <f t="shared" si="9"/>
        <v>0</v>
      </c>
      <c r="V50" s="1">
        <f t="shared" si="10"/>
        <v>0</v>
      </c>
      <c r="W50" s="1">
        <f t="shared" si="11"/>
        <v>0</v>
      </c>
      <c r="X50" s="1">
        <f t="shared" si="12"/>
        <v>0</v>
      </c>
    </row>
    <row r="51" spans="2:24" ht="12.75">
      <c r="B51">
        <v>46</v>
      </c>
      <c r="C51">
        <f t="shared" si="13"/>
        <v>81</v>
      </c>
      <c r="D51" s="94">
        <f>VLOOKUP(C51,Komutacni!$A$9:$B$110,2)</f>
        <v>0.11077520983565159</v>
      </c>
      <c r="E51" s="94">
        <f t="shared" si="14"/>
        <v>0.03425285686468929</v>
      </c>
      <c r="F51" s="94">
        <f t="shared" si="15"/>
        <v>0.3056226385260511</v>
      </c>
      <c r="G51">
        <f t="shared" si="21"/>
        <v>0</v>
      </c>
      <c r="H51" s="1">
        <f t="shared" si="20"/>
        <v>0</v>
      </c>
      <c r="I51" s="1">
        <f t="shared" si="22"/>
        <v>0</v>
      </c>
      <c r="J51">
        <f t="shared" si="16"/>
        <v>0</v>
      </c>
      <c r="K51" s="11">
        <f t="shared" si="17"/>
        <v>0</v>
      </c>
      <c r="L51" s="11">
        <f t="shared" si="18"/>
        <v>0</v>
      </c>
      <c r="M51">
        <f t="shared" si="23"/>
        <v>0</v>
      </c>
      <c r="N51" s="1">
        <f t="shared" si="19"/>
        <v>0</v>
      </c>
      <c r="O51" s="1">
        <f t="shared" si="4"/>
        <v>0</v>
      </c>
      <c r="P51" s="1">
        <f t="shared" si="5"/>
        <v>0</v>
      </c>
      <c r="Q51" s="1">
        <f t="shared" si="6"/>
        <v>0</v>
      </c>
      <c r="R51" s="1">
        <f t="shared" si="7"/>
        <v>0</v>
      </c>
      <c r="S51" s="1">
        <f t="shared" si="24"/>
        <v>0</v>
      </c>
      <c r="U51" s="1">
        <f t="shared" si="9"/>
        <v>0</v>
      </c>
      <c r="V51" s="1">
        <f t="shared" si="10"/>
        <v>0</v>
      </c>
      <c r="W51" s="1">
        <f t="shared" si="11"/>
        <v>0</v>
      </c>
      <c r="X51" s="1">
        <f t="shared" si="12"/>
        <v>0</v>
      </c>
    </row>
    <row r="52" spans="2:24" ht="12.75">
      <c r="B52">
        <v>47</v>
      </c>
      <c r="C52">
        <f t="shared" si="13"/>
        <v>82</v>
      </c>
      <c r="D52" s="94">
        <f>VLOOKUP(C52,Komutacni!$A$9:$B$110,2)</f>
        <v>0.12175989852855407</v>
      </c>
      <c r="E52" s="94">
        <f t="shared" si="14"/>
        <v>0.033855411913248805</v>
      </c>
      <c r="F52" s="94">
        <f t="shared" si="15"/>
        <v>0.2717672266128023</v>
      </c>
      <c r="G52">
        <f t="shared" si="21"/>
        <v>0</v>
      </c>
      <c r="H52" s="1">
        <f t="shared" si="20"/>
        <v>0</v>
      </c>
      <c r="I52" s="1">
        <f t="shared" si="22"/>
        <v>0</v>
      </c>
      <c r="J52">
        <f t="shared" si="16"/>
        <v>0</v>
      </c>
      <c r="K52" s="11">
        <f t="shared" si="17"/>
        <v>0</v>
      </c>
      <c r="L52" s="11">
        <f t="shared" si="18"/>
        <v>0</v>
      </c>
      <c r="M52">
        <f t="shared" si="23"/>
        <v>0</v>
      </c>
      <c r="N52" s="1">
        <f t="shared" si="19"/>
        <v>0</v>
      </c>
      <c r="O52" s="1">
        <f t="shared" si="4"/>
        <v>0</v>
      </c>
      <c r="P52" s="1">
        <f t="shared" si="5"/>
        <v>0</v>
      </c>
      <c r="Q52" s="1">
        <f t="shared" si="6"/>
        <v>0</v>
      </c>
      <c r="R52" s="1">
        <f t="shared" si="7"/>
        <v>0</v>
      </c>
      <c r="S52" s="1">
        <f t="shared" si="24"/>
        <v>0</v>
      </c>
      <c r="U52" s="1">
        <f t="shared" si="9"/>
        <v>0</v>
      </c>
      <c r="V52" s="1">
        <f t="shared" si="10"/>
        <v>0</v>
      </c>
      <c r="W52" s="1">
        <f t="shared" si="11"/>
        <v>0</v>
      </c>
      <c r="X52" s="1">
        <f t="shared" si="12"/>
        <v>0</v>
      </c>
    </row>
    <row r="53" spans="2:24" ht="12.75">
      <c r="B53">
        <v>48</v>
      </c>
      <c r="C53">
        <f t="shared" si="13"/>
        <v>83</v>
      </c>
      <c r="D53" s="94">
        <f>VLOOKUP(C53,Komutacni!$A$9:$B$110,2)</f>
        <v>0.13381678460342494</v>
      </c>
      <c r="E53" s="94">
        <f t="shared" si="14"/>
        <v>0.03309034993576136</v>
      </c>
      <c r="F53" s="94">
        <f t="shared" si="15"/>
        <v>0.2386768766770409</v>
      </c>
      <c r="G53">
        <f t="shared" si="21"/>
        <v>0</v>
      </c>
      <c r="H53" s="1">
        <f t="shared" si="20"/>
        <v>0</v>
      </c>
      <c r="I53" s="1">
        <f t="shared" si="22"/>
        <v>0</v>
      </c>
      <c r="J53">
        <f t="shared" si="16"/>
        <v>0</v>
      </c>
      <c r="K53" s="11">
        <f t="shared" si="17"/>
        <v>0</v>
      </c>
      <c r="L53" s="11">
        <f t="shared" si="18"/>
        <v>0</v>
      </c>
      <c r="M53">
        <f t="shared" si="23"/>
        <v>0</v>
      </c>
      <c r="N53" s="1">
        <f t="shared" si="19"/>
        <v>0</v>
      </c>
      <c r="O53" s="1">
        <f t="shared" si="4"/>
        <v>0</v>
      </c>
      <c r="P53" s="1">
        <f t="shared" si="5"/>
        <v>0</v>
      </c>
      <c r="Q53" s="1">
        <f t="shared" si="6"/>
        <v>0</v>
      </c>
      <c r="R53" s="1">
        <f t="shared" si="7"/>
        <v>0</v>
      </c>
      <c r="S53" s="1">
        <f t="shared" si="24"/>
        <v>0</v>
      </c>
      <c r="U53" s="1">
        <f t="shared" si="9"/>
        <v>0</v>
      </c>
      <c r="V53" s="1">
        <f t="shared" si="10"/>
        <v>0</v>
      </c>
      <c r="W53" s="1">
        <f t="shared" si="11"/>
        <v>0</v>
      </c>
      <c r="X53" s="1">
        <f t="shared" si="12"/>
        <v>0</v>
      </c>
    </row>
    <row r="54" spans="2:24" ht="12.75">
      <c r="B54">
        <v>49</v>
      </c>
      <c r="C54">
        <f t="shared" si="13"/>
        <v>84</v>
      </c>
      <c r="D54" s="94">
        <f>VLOOKUP(C54,Komutacni!$A$9:$B$110,2)</f>
        <v>0.1470310672417109</v>
      </c>
      <c r="E54" s="94">
        <f t="shared" si="14"/>
        <v>0.0319389721961098</v>
      </c>
      <c r="F54" s="94">
        <f t="shared" si="15"/>
        <v>0.2067379044809311</v>
      </c>
      <c r="G54">
        <f t="shared" si="21"/>
        <v>0</v>
      </c>
      <c r="H54" s="1">
        <f t="shared" si="20"/>
        <v>0</v>
      </c>
      <c r="I54" s="1">
        <f t="shared" si="22"/>
        <v>0</v>
      </c>
      <c r="J54">
        <f t="shared" si="16"/>
        <v>0</v>
      </c>
      <c r="K54" s="11">
        <f t="shared" si="17"/>
        <v>0</v>
      </c>
      <c r="L54" s="11">
        <f t="shared" si="18"/>
        <v>0</v>
      </c>
      <c r="M54">
        <f t="shared" si="23"/>
        <v>0</v>
      </c>
      <c r="N54" s="1">
        <f t="shared" si="19"/>
        <v>0</v>
      </c>
      <c r="O54" s="1">
        <f t="shared" si="4"/>
        <v>0</v>
      </c>
      <c r="P54" s="1">
        <f t="shared" si="5"/>
        <v>0</v>
      </c>
      <c r="Q54" s="1">
        <f t="shared" si="6"/>
        <v>0</v>
      </c>
      <c r="R54" s="1">
        <f t="shared" si="7"/>
        <v>0</v>
      </c>
      <c r="S54" s="1">
        <f t="shared" si="24"/>
        <v>0</v>
      </c>
      <c r="U54" s="1">
        <f t="shared" si="9"/>
        <v>0</v>
      </c>
      <c r="V54" s="1">
        <f t="shared" si="10"/>
        <v>0</v>
      </c>
      <c r="W54" s="1">
        <f t="shared" si="11"/>
        <v>0</v>
      </c>
      <c r="X54" s="1">
        <f t="shared" si="12"/>
        <v>0</v>
      </c>
    </row>
    <row r="55" spans="2:24" ht="12.75">
      <c r="B55">
        <v>50</v>
      </c>
      <c r="C55">
        <f t="shared" si="13"/>
        <v>85</v>
      </c>
      <c r="D55" s="94">
        <f>VLOOKUP(C55,Komutacni!$A$9:$B$110,2)</f>
        <v>0.161490173234332</v>
      </c>
      <c r="E55" s="94">
        <f t="shared" si="14"/>
        <v>0.030396894735146184</v>
      </c>
      <c r="F55" s="94">
        <f t="shared" si="15"/>
        <v>0.17634100974578493</v>
      </c>
      <c r="G55">
        <f t="shared" si="21"/>
        <v>0</v>
      </c>
      <c r="H55" s="1">
        <f t="shared" si="20"/>
        <v>0</v>
      </c>
      <c r="I55" s="1">
        <f t="shared" si="22"/>
        <v>0</v>
      </c>
      <c r="J55">
        <f t="shared" si="16"/>
        <v>0</v>
      </c>
      <c r="K55" s="11">
        <f t="shared" si="17"/>
        <v>0</v>
      </c>
      <c r="L55" s="11">
        <f t="shared" si="18"/>
        <v>0</v>
      </c>
      <c r="M55">
        <f t="shared" si="23"/>
        <v>0</v>
      </c>
      <c r="N55" s="1">
        <f t="shared" si="19"/>
        <v>0</v>
      </c>
      <c r="O55" s="1">
        <f t="shared" si="4"/>
        <v>0</v>
      </c>
      <c r="P55" s="1">
        <f t="shared" si="5"/>
        <v>0</v>
      </c>
      <c r="Q55" s="1">
        <f t="shared" si="6"/>
        <v>0</v>
      </c>
      <c r="R55" s="1">
        <f t="shared" si="7"/>
        <v>0</v>
      </c>
      <c r="S55" s="1">
        <f t="shared" si="24"/>
        <v>0</v>
      </c>
      <c r="U55" s="1">
        <f>O55+$S55</f>
        <v>0</v>
      </c>
      <c r="V55" s="1">
        <f t="shared" si="10"/>
        <v>0</v>
      </c>
      <c r="W55" s="1">
        <f t="shared" si="11"/>
        <v>0</v>
      </c>
      <c r="X55" s="1">
        <f t="shared" si="12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X55"/>
  <sheetViews>
    <sheetView zoomScale="75" zoomScaleNormal="75" workbookViewId="0" topLeftCell="I1">
      <selection activeCell="S1" sqref="S1"/>
    </sheetView>
  </sheetViews>
  <sheetFormatPr defaultColWidth="9.140625" defaultRowHeight="12.75"/>
  <cols>
    <col min="5" max="5" width="10.8515625" style="0" customWidth="1"/>
    <col min="6" max="6" width="9.8515625" style="0" bestFit="1" customWidth="1"/>
    <col min="8" max="8" width="9.00390625" style="0" customWidth="1"/>
    <col min="9" max="9" width="11.421875" style="0" customWidth="1"/>
    <col min="11" max="11" width="10.421875" style="0" bestFit="1" customWidth="1"/>
    <col min="12" max="12" width="10.421875" style="0" customWidth="1"/>
    <col min="19" max="19" width="13.8515625" style="0" bestFit="1" customWidth="1"/>
  </cols>
  <sheetData>
    <row r="1" ht="12.75">
      <c r="S1">
        <f>MIN(12000,Data!F5/Dur)*Data!F11*Data!B10</f>
        <v>2500</v>
      </c>
    </row>
    <row r="2" spans="10:24" ht="12.75">
      <c r="J2" s="1">
        <f>Data!I23</f>
        <v>323102</v>
      </c>
      <c r="K2" s="1">
        <f>Data!I27</f>
        <v>969306</v>
      </c>
      <c r="L2" s="1"/>
      <c r="M2" s="1">
        <f>Data!J24</f>
        <v>323102</v>
      </c>
      <c r="N2" s="87">
        <f>IRR(N5:N55,-50%)</f>
        <v>-0.08244952682188575</v>
      </c>
      <c r="O2" s="87">
        <f>IRR(O5:O55,0%)</f>
        <v>0.003735610741015874</v>
      </c>
      <c r="P2" s="87">
        <f>IRR(P5:P55,0%)</f>
        <v>0.009263825597299982</v>
      </c>
      <c r="Q2" s="87">
        <f>IRR(Q5:Q55,0%)</f>
        <v>0.010830322508191888</v>
      </c>
      <c r="R2" s="87">
        <f>IRR(R5:R55,0%)</f>
        <v>0.023806292012485884</v>
      </c>
      <c r="S2">
        <f>MAX(Data!F9-Data!F5,0)*15%</f>
        <v>10965.3</v>
      </c>
      <c r="U2" s="87">
        <f>IRR(U5:U55,0%)</f>
        <v>0.011681527919545076</v>
      </c>
      <c r="V2" s="87">
        <f>IRR(V5:V55,0%)</f>
        <v>0.017121356697162016</v>
      </c>
      <c r="W2" s="87">
        <f>IRR(W5:W55,0%)</f>
        <v>0.01866230300949836</v>
      </c>
      <c r="X2" s="87">
        <f>IRR(X5:X55,0%)</f>
        <v>0.03142233267852371</v>
      </c>
    </row>
    <row r="3" spans="8:24" ht="12.75">
      <c r="H3" s="1">
        <f>SUM(H5:H55)</f>
        <v>250000</v>
      </c>
      <c r="I3" s="1"/>
      <c r="J3" s="84" t="s">
        <v>49</v>
      </c>
      <c r="K3" s="85">
        <v>5</v>
      </c>
      <c r="L3" s="85">
        <v>3</v>
      </c>
      <c r="M3" s="84" t="s">
        <v>48</v>
      </c>
      <c r="N3" s="86">
        <v>1</v>
      </c>
      <c r="O3" s="86">
        <v>2</v>
      </c>
      <c r="P3" s="86">
        <v>3</v>
      </c>
      <c r="Q3" s="86">
        <v>4</v>
      </c>
      <c r="R3" s="86">
        <v>5</v>
      </c>
      <c r="S3" s="102" t="s">
        <v>67</v>
      </c>
      <c r="T3" s="86">
        <v>1</v>
      </c>
      <c r="U3" s="86">
        <v>2</v>
      </c>
      <c r="V3" s="86">
        <v>3</v>
      </c>
      <c r="W3" s="86">
        <v>4</v>
      </c>
      <c r="X3" s="86">
        <v>5</v>
      </c>
    </row>
    <row r="4" spans="2:24" ht="12.75">
      <c r="B4" s="83" t="s">
        <v>43</v>
      </c>
      <c r="C4" s="83" t="s">
        <v>18</v>
      </c>
      <c r="D4" s="83" t="s">
        <v>46</v>
      </c>
      <c r="E4" s="83" t="s">
        <v>58</v>
      </c>
      <c r="F4" s="83" t="s">
        <v>44</v>
      </c>
      <c r="G4" s="83" t="s">
        <v>45</v>
      </c>
      <c r="H4" s="83" t="s">
        <v>20</v>
      </c>
      <c r="I4" s="83" t="s">
        <v>47</v>
      </c>
      <c r="J4" s="83" t="s">
        <v>30</v>
      </c>
      <c r="K4" s="83" t="s">
        <v>30</v>
      </c>
      <c r="L4" s="83" t="s">
        <v>30</v>
      </c>
      <c r="M4" s="83" t="s">
        <v>31</v>
      </c>
      <c r="N4" s="83"/>
      <c r="O4" s="83"/>
      <c r="P4" s="83"/>
      <c r="Q4" s="83"/>
      <c r="R4" s="83"/>
      <c r="T4" s="83"/>
      <c r="U4" s="83"/>
      <c r="V4" s="83"/>
      <c r="W4" s="83"/>
      <c r="X4" s="83"/>
    </row>
    <row r="5" spans="2:24" ht="12.75">
      <c r="B5">
        <v>0</v>
      </c>
      <c r="C5">
        <f>Age</f>
        <v>35</v>
      </c>
      <c r="D5" s="82">
        <f>VLOOKUP(C5,Komutacni!$A$9:$B$110,2)</f>
        <v>0.0014909264966165292</v>
      </c>
      <c r="E5" s="94"/>
      <c r="F5" s="36">
        <v>1</v>
      </c>
      <c r="H5" s="1">
        <f>Data!F5</f>
        <v>250000</v>
      </c>
      <c r="I5" s="1"/>
      <c r="N5" s="1">
        <f aca="true" t="shared" si="0" ref="N5:N36">J5-H5</f>
        <v>-250000</v>
      </c>
      <c r="O5" s="1">
        <f aca="true" t="shared" si="1" ref="O5:O36">M5-H5</f>
        <v>-250000</v>
      </c>
      <c r="P5" s="1">
        <f aca="true" t="shared" si="2" ref="P5:P36">L5+M5-H5</f>
        <v>-250000</v>
      </c>
      <c r="Q5" s="1">
        <f aca="true" t="shared" si="3" ref="Q5:Q36">J5+M5-H5</f>
        <v>-250000</v>
      </c>
      <c r="R5" s="1">
        <f aca="true" t="shared" si="4" ref="R5:R36">M5+K5+-H5</f>
        <v>-250000</v>
      </c>
      <c r="U5" s="1">
        <f>O5+$S5</f>
        <v>-250000</v>
      </c>
      <c r="V5" s="1">
        <f aca="true" t="shared" si="5" ref="V5:X20">P5+$S5</f>
        <v>-250000</v>
      </c>
      <c r="W5" s="1">
        <f t="shared" si="5"/>
        <v>-250000</v>
      </c>
      <c r="X5" s="1">
        <f t="shared" si="5"/>
        <v>-250000</v>
      </c>
    </row>
    <row r="6" spans="2:24" ht="12.75">
      <c r="B6">
        <v>1</v>
      </c>
      <c r="C6">
        <f aca="true" t="shared" si="6" ref="C6:C37">C5+1</f>
        <v>36</v>
      </c>
      <c r="D6" s="82">
        <f>VLOOKUP(C6,Komutacni!$A$9:$B$110,2)</f>
        <v>0.0016396488250367547</v>
      </c>
      <c r="E6" s="94">
        <f>F5*D5</f>
        <v>0.0014909264966165292</v>
      </c>
      <c r="F6" s="94">
        <f>F5-E6</f>
        <v>0.9985090735033835</v>
      </c>
      <c r="G6">
        <f aca="true" t="shared" si="7" ref="G6:G37">IF(B6&gt;Dur,0,1)</f>
        <v>1</v>
      </c>
      <c r="H6" s="93">
        <v>0</v>
      </c>
      <c r="I6" s="1">
        <f>G6*Data!$F$5</f>
        <v>250000</v>
      </c>
      <c r="J6">
        <f>E6*$J$2*G6</f>
        <v>481.72133290979383</v>
      </c>
      <c r="K6" s="11">
        <f>E6*$K$2*G6</f>
        <v>1445.1639987293815</v>
      </c>
      <c r="L6" s="11">
        <f>E6*I6*G6</f>
        <v>372.7316241541323</v>
      </c>
      <c r="M6">
        <f aca="true" t="shared" si="8" ref="M6:M37">IF(B6=Dur,$M$2,0)*F6</f>
        <v>0</v>
      </c>
      <c r="N6" s="1">
        <f t="shared" si="0"/>
        <v>481.72133290979383</v>
      </c>
      <c r="O6" s="1">
        <f t="shared" si="1"/>
        <v>0</v>
      </c>
      <c r="P6" s="1">
        <f t="shared" si="2"/>
        <v>372.7316241541323</v>
      </c>
      <c r="Q6" s="1">
        <f t="shared" si="3"/>
        <v>481.72133290979383</v>
      </c>
      <c r="R6" s="1">
        <f t="shared" si="4"/>
        <v>1445.1639987293815</v>
      </c>
      <c r="S6" s="1">
        <f aca="true" t="shared" si="9" ref="S6:S37">$S$1*F5*G6-IF(B6=Dur,$S$2,0)*F6</f>
        <v>2500</v>
      </c>
      <c r="U6" s="1">
        <f aca="true" t="shared" si="10" ref="U6:X54">O6+$S6</f>
        <v>2500</v>
      </c>
      <c r="V6" s="1">
        <f t="shared" si="5"/>
        <v>2872.731624154132</v>
      </c>
      <c r="W6" s="1">
        <f t="shared" si="5"/>
        <v>2981.721332909794</v>
      </c>
      <c r="X6" s="1">
        <f t="shared" si="5"/>
        <v>3945.1639987293815</v>
      </c>
    </row>
    <row r="7" spans="2:24" ht="12.75">
      <c r="B7">
        <v>2</v>
      </c>
      <c r="C7">
        <f t="shared" si="6"/>
        <v>37</v>
      </c>
      <c r="D7" s="82">
        <f>VLOOKUP(C7,Komutacni!$A$9:$B$110,2)</f>
        <v>0.0018074474707312493</v>
      </c>
      <c r="E7" s="94">
        <f aca="true" t="shared" si="11" ref="E7:E55">F6*D6</f>
        <v>0.0016372042291583613</v>
      </c>
      <c r="F7" s="94">
        <f>F6-E7</f>
        <v>0.9968718692742251</v>
      </c>
      <c r="G7">
        <f t="shared" si="7"/>
        <v>1</v>
      </c>
      <c r="H7" s="93">
        <v>0</v>
      </c>
      <c r="I7" s="1">
        <f>G7*Data!$F$5</f>
        <v>250000</v>
      </c>
      <c r="J7">
        <f aca="true" t="shared" si="12" ref="J7:J55">E7*$J$2*G7</f>
        <v>528.9839608495248</v>
      </c>
      <c r="K7" s="11">
        <f aca="true" t="shared" si="13" ref="K7:K55">E7*$K$2*G7</f>
        <v>1586.9518825485745</v>
      </c>
      <c r="L7" s="11">
        <f aca="true" t="shared" si="14" ref="L7:L55">E7*I7*G7</f>
        <v>409.30105728959035</v>
      </c>
      <c r="M7">
        <f t="shared" si="8"/>
        <v>0</v>
      </c>
      <c r="N7" s="1">
        <f t="shared" si="0"/>
        <v>528.9839608495248</v>
      </c>
      <c r="O7" s="1">
        <f t="shared" si="1"/>
        <v>0</v>
      </c>
      <c r="P7" s="1">
        <f t="shared" si="2"/>
        <v>409.30105728959035</v>
      </c>
      <c r="Q7" s="1">
        <f t="shared" si="3"/>
        <v>528.9839608495248</v>
      </c>
      <c r="R7" s="1">
        <f t="shared" si="4"/>
        <v>1586.9518825485745</v>
      </c>
      <c r="S7" s="1">
        <f t="shared" si="9"/>
        <v>2496.2726837584587</v>
      </c>
      <c r="U7" s="1">
        <f t="shared" si="10"/>
        <v>2496.2726837584587</v>
      </c>
      <c r="V7" s="1">
        <f t="shared" si="5"/>
        <v>2905.573741048049</v>
      </c>
      <c r="W7" s="1">
        <f t="shared" si="5"/>
        <v>3025.2566446079836</v>
      </c>
      <c r="X7" s="1">
        <f t="shared" si="5"/>
        <v>4083.2245663070335</v>
      </c>
    </row>
    <row r="8" spans="2:24" ht="12.75">
      <c r="B8">
        <v>3</v>
      </c>
      <c r="C8">
        <f t="shared" si="6"/>
        <v>38</v>
      </c>
      <c r="D8" s="82">
        <f>VLOOKUP(C8,Komutacni!$A$9:$B$110,2)</f>
        <v>0.0019452113057618625</v>
      </c>
      <c r="E8" s="94">
        <f t="shared" si="11"/>
        <v>0.0018017935387628309</v>
      </c>
      <c r="F8" s="94">
        <f aca="true" t="shared" si="15" ref="F8:F55">F7-E8</f>
        <v>0.9950700757354622</v>
      </c>
      <c r="G8">
        <f t="shared" si="7"/>
        <v>1</v>
      </c>
      <c r="H8" s="93">
        <v>0</v>
      </c>
      <c r="I8" s="1">
        <f>G8*Data!$F$5</f>
        <v>250000</v>
      </c>
      <c r="J8">
        <f t="shared" si="12"/>
        <v>582.1630959613482</v>
      </c>
      <c r="K8" s="11">
        <f t="shared" si="13"/>
        <v>1746.4892878840446</v>
      </c>
      <c r="L8" s="11">
        <f t="shared" si="14"/>
        <v>450.4483846907077</v>
      </c>
      <c r="M8">
        <f t="shared" si="8"/>
        <v>0</v>
      </c>
      <c r="N8" s="1">
        <f t="shared" si="0"/>
        <v>582.1630959613482</v>
      </c>
      <c r="O8" s="1">
        <f t="shared" si="1"/>
        <v>0</v>
      </c>
      <c r="P8" s="1">
        <f t="shared" si="2"/>
        <v>450.4483846907077</v>
      </c>
      <c r="Q8" s="1">
        <f t="shared" si="3"/>
        <v>582.1630959613482</v>
      </c>
      <c r="R8" s="1">
        <f t="shared" si="4"/>
        <v>1746.4892878840446</v>
      </c>
      <c r="S8" s="1">
        <f t="shared" si="9"/>
        <v>2492.179673185563</v>
      </c>
      <c r="U8" s="1">
        <f t="shared" si="10"/>
        <v>2492.179673185563</v>
      </c>
      <c r="V8" s="1">
        <f t="shared" si="5"/>
        <v>2942.6280578762708</v>
      </c>
      <c r="W8" s="1">
        <f t="shared" si="5"/>
        <v>3074.342769146911</v>
      </c>
      <c r="X8" s="1">
        <f t="shared" si="5"/>
        <v>4238.668961069608</v>
      </c>
    </row>
    <row r="9" spans="2:24" ht="12.75">
      <c r="B9">
        <v>4</v>
      </c>
      <c r="C9">
        <f t="shared" si="6"/>
        <v>39</v>
      </c>
      <c r="D9" s="82">
        <f>VLOOKUP(C9,Komutacni!$A$9:$B$110,2)</f>
        <v>0.002084363483967011</v>
      </c>
      <c r="E9" s="94">
        <f t="shared" si="11"/>
        <v>0.001935621561345934</v>
      </c>
      <c r="F9" s="94">
        <f t="shared" si="15"/>
        <v>0.9931344541741163</v>
      </c>
      <c r="G9">
        <f t="shared" si="7"/>
        <v>1</v>
      </c>
      <c r="H9" s="93">
        <v>0</v>
      </c>
      <c r="I9" s="1">
        <f>G9*Data!$F$5</f>
        <v>250000</v>
      </c>
      <c r="J9">
        <f t="shared" si="12"/>
        <v>625.4031977139939</v>
      </c>
      <c r="K9" s="11">
        <f t="shared" si="13"/>
        <v>1876.209593141982</v>
      </c>
      <c r="L9" s="11">
        <f t="shared" si="14"/>
        <v>483.9053903364835</v>
      </c>
      <c r="M9">
        <f t="shared" si="8"/>
        <v>0</v>
      </c>
      <c r="N9" s="1">
        <f t="shared" si="0"/>
        <v>625.4031977139939</v>
      </c>
      <c r="O9" s="1">
        <f t="shared" si="1"/>
        <v>0</v>
      </c>
      <c r="P9" s="1">
        <f t="shared" si="2"/>
        <v>483.9053903364835</v>
      </c>
      <c r="Q9" s="1">
        <f t="shared" si="3"/>
        <v>625.4031977139939</v>
      </c>
      <c r="R9" s="1">
        <f t="shared" si="4"/>
        <v>1876.209593141982</v>
      </c>
      <c r="S9" s="1">
        <f t="shared" si="9"/>
        <v>2487.6751893386554</v>
      </c>
      <c r="U9" s="1">
        <f t="shared" si="10"/>
        <v>2487.6751893386554</v>
      </c>
      <c r="V9" s="1">
        <f t="shared" si="5"/>
        <v>2971.580579675139</v>
      </c>
      <c r="W9" s="1">
        <f t="shared" si="5"/>
        <v>3113.0783870526493</v>
      </c>
      <c r="X9" s="1">
        <f t="shared" si="5"/>
        <v>4363.884782480637</v>
      </c>
    </row>
    <row r="10" spans="2:24" ht="12.75">
      <c r="B10">
        <v>5</v>
      </c>
      <c r="C10">
        <f t="shared" si="6"/>
        <v>40</v>
      </c>
      <c r="D10" s="82">
        <f>VLOOKUP(C10,Komutacni!$A$9:$B$110,2)</f>
        <v>0.002360382105797365</v>
      </c>
      <c r="E10" s="94">
        <f t="shared" si="11"/>
        <v>0.002070053190950037</v>
      </c>
      <c r="F10" s="94">
        <f t="shared" si="15"/>
        <v>0.9910644009831663</v>
      </c>
      <c r="G10">
        <f t="shared" si="7"/>
        <v>1</v>
      </c>
      <c r="H10" s="93">
        <v>0</v>
      </c>
      <c r="I10" s="1">
        <f>G10*Data!$F$5</f>
        <v>250000</v>
      </c>
      <c r="J10">
        <f t="shared" si="12"/>
        <v>668.8383261023389</v>
      </c>
      <c r="K10" s="11">
        <f t="shared" si="13"/>
        <v>2006.5149783070167</v>
      </c>
      <c r="L10" s="11">
        <f t="shared" si="14"/>
        <v>517.5132977375093</v>
      </c>
      <c r="M10">
        <f t="shared" si="8"/>
        <v>0</v>
      </c>
      <c r="N10" s="1">
        <f t="shared" si="0"/>
        <v>668.8383261023389</v>
      </c>
      <c r="O10" s="1">
        <f t="shared" si="1"/>
        <v>0</v>
      </c>
      <c r="P10" s="1">
        <f t="shared" si="2"/>
        <v>517.5132977375093</v>
      </c>
      <c r="Q10" s="1">
        <f t="shared" si="3"/>
        <v>668.8383261023389</v>
      </c>
      <c r="R10" s="1">
        <f t="shared" si="4"/>
        <v>2006.5149783070167</v>
      </c>
      <c r="S10" s="1">
        <f t="shared" si="9"/>
        <v>2482.8361354352905</v>
      </c>
      <c r="U10" s="1">
        <f t="shared" si="10"/>
        <v>2482.8361354352905</v>
      </c>
      <c r="V10" s="1">
        <f t="shared" si="5"/>
        <v>3000.3494331727998</v>
      </c>
      <c r="W10" s="1">
        <f t="shared" si="5"/>
        <v>3151.674461537629</v>
      </c>
      <c r="X10" s="1">
        <f t="shared" si="5"/>
        <v>4489.3511137423075</v>
      </c>
    </row>
    <row r="11" spans="2:24" ht="12.75">
      <c r="B11">
        <v>6</v>
      </c>
      <c r="C11">
        <f t="shared" si="6"/>
        <v>41</v>
      </c>
      <c r="D11" s="82">
        <f>VLOOKUP(C11,Komutacni!$A$9:$B$110,2)</f>
        <v>0.002610347693567938</v>
      </c>
      <c r="E11" s="94">
        <f t="shared" si="11"/>
        <v>0.00233929067777345</v>
      </c>
      <c r="F11" s="94">
        <f t="shared" si="15"/>
        <v>0.9887251103053928</v>
      </c>
      <c r="G11">
        <f t="shared" si="7"/>
        <v>1</v>
      </c>
      <c r="H11" s="93">
        <v>0</v>
      </c>
      <c r="I11" s="1">
        <f>G11*Data!$F$5</f>
        <v>250000</v>
      </c>
      <c r="J11">
        <f t="shared" si="12"/>
        <v>755.8294965699573</v>
      </c>
      <c r="K11" s="11">
        <f t="shared" si="13"/>
        <v>2267.488489709872</v>
      </c>
      <c r="L11" s="11">
        <f t="shared" si="14"/>
        <v>584.8226694433625</v>
      </c>
      <c r="M11">
        <f t="shared" si="8"/>
        <v>0</v>
      </c>
      <c r="N11" s="1">
        <f t="shared" si="0"/>
        <v>755.8294965699573</v>
      </c>
      <c r="O11" s="1">
        <f t="shared" si="1"/>
        <v>0</v>
      </c>
      <c r="P11" s="1">
        <f t="shared" si="2"/>
        <v>584.8226694433625</v>
      </c>
      <c r="Q11" s="1">
        <f t="shared" si="3"/>
        <v>755.8294965699573</v>
      </c>
      <c r="R11" s="1">
        <f t="shared" si="4"/>
        <v>2267.488489709872</v>
      </c>
      <c r="S11" s="1">
        <f t="shared" si="9"/>
        <v>2477.661002457916</v>
      </c>
      <c r="U11" s="1">
        <f t="shared" si="10"/>
        <v>2477.661002457916</v>
      </c>
      <c r="V11" s="1">
        <f t="shared" si="5"/>
        <v>3062.4836719012783</v>
      </c>
      <c r="W11" s="1">
        <f t="shared" si="5"/>
        <v>3233.4904990278733</v>
      </c>
      <c r="X11" s="1">
        <f t="shared" si="5"/>
        <v>4745.149492167788</v>
      </c>
    </row>
    <row r="12" spans="2:24" ht="12.75">
      <c r="B12">
        <v>7</v>
      </c>
      <c r="C12">
        <f t="shared" si="6"/>
        <v>42</v>
      </c>
      <c r="D12" s="82">
        <f>VLOOKUP(C12,Komutacni!$A$9:$B$110,2)</f>
        <v>0.0028282513969949408</v>
      </c>
      <c r="E12" s="94">
        <f t="shared" si="11"/>
        <v>0.0025809163112583875</v>
      </c>
      <c r="F12" s="94">
        <f t="shared" si="15"/>
        <v>0.9861441939941344</v>
      </c>
      <c r="G12">
        <f t="shared" si="7"/>
        <v>1</v>
      </c>
      <c r="H12" s="93">
        <v>0</v>
      </c>
      <c r="I12" s="1">
        <f>G12*Data!$F$5</f>
        <v>250000</v>
      </c>
      <c r="J12">
        <f t="shared" si="12"/>
        <v>833.8992220002075</v>
      </c>
      <c r="K12" s="11">
        <f t="shared" si="13"/>
        <v>2501.6976660006226</v>
      </c>
      <c r="L12" s="11">
        <f t="shared" si="14"/>
        <v>645.2290778145968</v>
      </c>
      <c r="M12">
        <f t="shared" si="8"/>
        <v>0</v>
      </c>
      <c r="N12" s="1">
        <f t="shared" si="0"/>
        <v>833.8992220002075</v>
      </c>
      <c r="O12" s="1">
        <f t="shared" si="1"/>
        <v>0</v>
      </c>
      <c r="P12" s="1">
        <f t="shared" si="2"/>
        <v>645.2290778145968</v>
      </c>
      <c r="Q12" s="1">
        <f t="shared" si="3"/>
        <v>833.8992220002075</v>
      </c>
      <c r="R12" s="1">
        <f t="shared" si="4"/>
        <v>2501.6976660006226</v>
      </c>
      <c r="S12" s="1">
        <f t="shared" si="9"/>
        <v>2471.812775763482</v>
      </c>
      <c r="U12" s="1">
        <f t="shared" si="10"/>
        <v>2471.812775763482</v>
      </c>
      <c r="V12" s="1">
        <f t="shared" si="5"/>
        <v>3117.041853578079</v>
      </c>
      <c r="W12" s="1">
        <f t="shared" si="5"/>
        <v>3305.7119977636894</v>
      </c>
      <c r="X12" s="1">
        <f t="shared" si="5"/>
        <v>4973.510441764105</v>
      </c>
    </row>
    <row r="13" spans="2:24" ht="12.75">
      <c r="B13">
        <v>8</v>
      </c>
      <c r="C13">
        <f t="shared" si="6"/>
        <v>43</v>
      </c>
      <c r="D13" s="82">
        <f>VLOOKUP(C13,Komutacni!$A$9:$B$110,2)</f>
        <v>0.0029873078002157216</v>
      </c>
      <c r="E13" s="94">
        <f t="shared" si="11"/>
        <v>0.0027890636943023604</v>
      </c>
      <c r="F13" s="94">
        <f t="shared" si="15"/>
        <v>0.9833551302998321</v>
      </c>
      <c r="G13">
        <f t="shared" si="7"/>
        <v>1</v>
      </c>
      <c r="H13" s="93">
        <v>0</v>
      </c>
      <c r="I13" s="1">
        <f>G13*Data!$F$5</f>
        <v>250000</v>
      </c>
      <c r="J13">
        <f t="shared" si="12"/>
        <v>901.1520577564812</v>
      </c>
      <c r="K13" s="11">
        <f t="shared" si="13"/>
        <v>2703.4561732694438</v>
      </c>
      <c r="L13" s="11">
        <f t="shared" si="14"/>
        <v>697.2659235755901</v>
      </c>
      <c r="M13">
        <f t="shared" si="8"/>
        <v>0</v>
      </c>
      <c r="N13" s="1">
        <f t="shared" si="0"/>
        <v>901.1520577564812</v>
      </c>
      <c r="O13" s="1">
        <f t="shared" si="1"/>
        <v>0</v>
      </c>
      <c r="P13" s="1">
        <f t="shared" si="2"/>
        <v>697.2659235755901</v>
      </c>
      <c r="Q13" s="1">
        <f t="shared" si="3"/>
        <v>901.1520577564812</v>
      </c>
      <c r="R13" s="1">
        <f t="shared" si="4"/>
        <v>2703.4561732694438</v>
      </c>
      <c r="S13" s="1">
        <f t="shared" si="9"/>
        <v>2465.360484985336</v>
      </c>
      <c r="U13" s="1">
        <f t="shared" si="10"/>
        <v>2465.360484985336</v>
      </c>
      <c r="V13" s="1">
        <f t="shared" si="5"/>
        <v>3162.626408560926</v>
      </c>
      <c r="W13" s="1">
        <f t="shared" si="5"/>
        <v>3366.512542741817</v>
      </c>
      <c r="X13" s="1">
        <f t="shared" si="5"/>
        <v>5168.81665825478</v>
      </c>
    </row>
    <row r="14" spans="2:24" ht="12.75">
      <c r="B14">
        <v>9</v>
      </c>
      <c r="C14">
        <f t="shared" si="6"/>
        <v>44</v>
      </c>
      <c r="D14" s="82">
        <f>VLOOKUP(C14,Komutacni!$A$9:$B$110,2)</f>
        <v>0.0032775140328502594</v>
      </c>
      <c r="E14" s="94">
        <f t="shared" si="11"/>
        <v>0.002937584451126836</v>
      </c>
      <c r="F14" s="94">
        <f t="shared" si="15"/>
        <v>0.9804175458487053</v>
      </c>
      <c r="G14">
        <f t="shared" si="7"/>
        <v>1</v>
      </c>
      <c r="H14" s="93">
        <v>0</v>
      </c>
      <c r="I14" s="1">
        <f>G14*Data!$F$5</f>
        <v>250000</v>
      </c>
      <c r="J14">
        <f t="shared" si="12"/>
        <v>949.139411327983</v>
      </c>
      <c r="K14" s="11">
        <f t="shared" si="13"/>
        <v>2847.418233983949</v>
      </c>
      <c r="L14" s="11">
        <f t="shared" si="14"/>
        <v>734.396112781709</v>
      </c>
      <c r="M14">
        <f t="shared" si="8"/>
        <v>0</v>
      </c>
      <c r="N14" s="1">
        <f t="shared" si="0"/>
        <v>949.139411327983</v>
      </c>
      <c r="O14" s="1">
        <f t="shared" si="1"/>
        <v>0</v>
      </c>
      <c r="P14" s="1">
        <f t="shared" si="2"/>
        <v>734.396112781709</v>
      </c>
      <c r="Q14" s="1">
        <f t="shared" si="3"/>
        <v>949.139411327983</v>
      </c>
      <c r="R14" s="1">
        <f t="shared" si="4"/>
        <v>2847.418233983949</v>
      </c>
      <c r="S14" s="1">
        <f t="shared" si="9"/>
        <v>2458.3878257495803</v>
      </c>
      <c r="U14" s="1">
        <f t="shared" si="10"/>
        <v>2458.3878257495803</v>
      </c>
      <c r="V14" s="1">
        <f t="shared" si="5"/>
        <v>3192.783938531289</v>
      </c>
      <c r="W14" s="1">
        <f t="shared" si="5"/>
        <v>3407.5272370775633</v>
      </c>
      <c r="X14" s="1">
        <f t="shared" si="5"/>
        <v>5305.80605973353</v>
      </c>
    </row>
    <row r="15" spans="2:24" ht="12.75">
      <c r="B15">
        <v>10</v>
      </c>
      <c r="C15">
        <f t="shared" si="6"/>
        <v>45</v>
      </c>
      <c r="D15" s="82">
        <f>VLOOKUP(C15,Komutacni!$A$9:$B$110,2)</f>
        <v>0.003995849402304352</v>
      </c>
      <c r="E15" s="94">
        <f t="shared" si="11"/>
        <v>0.0032133322645717445</v>
      </c>
      <c r="F15" s="94">
        <f t="shared" si="15"/>
        <v>0.9772042135841336</v>
      </c>
      <c r="G15">
        <f t="shared" si="7"/>
        <v>1</v>
      </c>
      <c r="H15" s="93">
        <v>0</v>
      </c>
      <c r="I15" s="1">
        <f>G15*Data!$F$5</f>
        <v>250000</v>
      </c>
      <c r="J15">
        <f t="shared" si="12"/>
        <v>1038.2340813476599</v>
      </c>
      <c r="K15" s="11">
        <f t="shared" si="13"/>
        <v>3114.702244042979</v>
      </c>
      <c r="L15" s="11">
        <f t="shared" si="14"/>
        <v>803.3330661429361</v>
      </c>
      <c r="M15">
        <f t="shared" si="8"/>
        <v>0</v>
      </c>
      <c r="N15" s="1">
        <f t="shared" si="0"/>
        <v>1038.2340813476599</v>
      </c>
      <c r="O15" s="1">
        <f t="shared" si="1"/>
        <v>0</v>
      </c>
      <c r="P15" s="1">
        <f t="shared" si="2"/>
        <v>803.3330661429361</v>
      </c>
      <c r="Q15" s="1">
        <f t="shared" si="3"/>
        <v>1038.2340813476599</v>
      </c>
      <c r="R15" s="1">
        <f t="shared" si="4"/>
        <v>3114.702244042979</v>
      </c>
      <c r="S15" s="1">
        <f t="shared" si="9"/>
        <v>2451.0438646217635</v>
      </c>
      <c r="U15" s="1">
        <f t="shared" si="10"/>
        <v>2451.0438646217635</v>
      </c>
      <c r="V15" s="1">
        <f t="shared" si="5"/>
        <v>3254.3769307647</v>
      </c>
      <c r="W15" s="1">
        <f t="shared" si="5"/>
        <v>3489.2779459694234</v>
      </c>
      <c r="X15" s="1">
        <f t="shared" si="5"/>
        <v>5565.746108664743</v>
      </c>
    </row>
    <row r="16" spans="2:24" ht="12.75">
      <c r="B16">
        <v>11</v>
      </c>
      <c r="C16">
        <f t="shared" si="6"/>
        <v>46</v>
      </c>
      <c r="D16" s="82">
        <f>VLOOKUP(C16,Komutacni!$A$9:$B$110,2)</f>
        <v>0.0046308902325153944</v>
      </c>
      <c r="E16" s="94">
        <f t="shared" si="11"/>
        <v>0.003904760872779455</v>
      </c>
      <c r="F16" s="94">
        <f t="shared" si="15"/>
        <v>0.9732994527113541</v>
      </c>
      <c r="G16">
        <f t="shared" si="7"/>
        <v>1</v>
      </c>
      <c r="H16" s="93">
        <v>0</v>
      </c>
      <c r="I16" s="1">
        <f>G16*Data!$F$5</f>
        <v>250000</v>
      </c>
      <c r="J16">
        <f t="shared" si="12"/>
        <v>1261.6360475167874</v>
      </c>
      <c r="K16" s="11">
        <f t="shared" si="13"/>
        <v>3784.9081425503623</v>
      </c>
      <c r="L16" s="11">
        <f t="shared" si="14"/>
        <v>976.1902181948637</v>
      </c>
      <c r="M16">
        <f t="shared" si="8"/>
        <v>0</v>
      </c>
      <c r="N16" s="1">
        <f t="shared" si="0"/>
        <v>1261.6360475167874</v>
      </c>
      <c r="O16" s="1">
        <f t="shared" si="1"/>
        <v>0</v>
      </c>
      <c r="P16" s="1">
        <f t="shared" si="2"/>
        <v>976.1902181948637</v>
      </c>
      <c r="Q16" s="1">
        <f t="shared" si="3"/>
        <v>1261.6360475167874</v>
      </c>
      <c r="R16" s="1">
        <f t="shared" si="4"/>
        <v>3784.9081425503623</v>
      </c>
      <c r="S16" s="1">
        <f t="shared" si="9"/>
        <v>2443.0105339603338</v>
      </c>
      <c r="U16" s="1">
        <f t="shared" si="10"/>
        <v>2443.0105339603338</v>
      </c>
      <c r="V16" s="1">
        <f t="shared" si="5"/>
        <v>3419.2007521551977</v>
      </c>
      <c r="W16" s="1">
        <f t="shared" si="5"/>
        <v>3704.646581477121</v>
      </c>
      <c r="X16" s="1">
        <f t="shared" si="5"/>
        <v>6227.918676510696</v>
      </c>
    </row>
    <row r="17" spans="2:24" ht="12.75">
      <c r="B17">
        <v>12</v>
      </c>
      <c r="C17">
        <f t="shared" si="6"/>
        <v>47</v>
      </c>
      <c r="D17" s="82">
        <f>VLOOKUP(C17,Komutacni!$A$9:$B$110,2)</f>
        <v>0.005306818255897516</v>
      </c>
      <c r="E17" s="94">
        <f t="shared" si="11"/>
        <v>0.004507242928873589</v>
      </c>
      <c r="F17" s="94">
        <f t="shared" si="15"/>
        <v>0.9687922097824805</v>
      </c>
      <c r="G17">
        <f t="shared" si="7"/>
        <v>1</v>
      </c>
      <c r="H17" s="93">
        <v>0</v>
      </c>
      <c r="I17" s="1">
        <f>G17*Data!$F$5</f>
        <v>250000</v>
      </c>
      <c r="J17">
        <f t="shared" si="12"/>
        <v>1456.2992048049143</v>
      </c>
      <c r="K17" s="11">
        <f t="shared" si="13"/>
        <v>4368.897614414743</v>
      </c>
      <c r="L17" s="11">
        <f t="shared" si="14"/>
        <v>1126.8107322183973</v>
      </c>
      <c r="M17">
        <f t="shared" si="8"/>
        <v>0</v>
      </c>
      <c r="N17" s="1">
        <f t="shared" si="0"/>
        <v>1456.2992048049143</v>
      </c>
      <c r="O17" s="1">
        <f t="shared" si="1"/>
        <v>0</v>
      </c>
      <c r="P17" s="1">
        <f t="shared" si="2"/>
        <v>1126.8107322183973</v>
      </c>
      <c r="Q17" s="1">
        <f t="shared" si="3"/>
        <v>1456.2992048049143</v>
      </c>
      <c r="R17" s="1">
        <f t="shared" si="4"/>
        <v>4368.897614414743</v>
      </c>
      <c r="S17" s="1">
        <f t="shared" si="9"/>
        <v>2433.248631778385</v>
      </c>
      <c r="U17" s="1">
        <f t="shared" si="10"/>
        <v>2433.248631778385</v>
      </c>
      <c r="V17" s="1">
        <f t="shared" si="5"/>
        <v>3560.0593639967824</v>
      </c>
      <c r="W17" s="1">
        <f t="shared" si="5"/>
        <v>3889.5478365832996</v>
      </c>
      <c r="X17" s="1">
        <f t="shared" si="5"/>
        <v>6802.146246193128</v>
      </c>
    </row>
    <row r="18" spans="2:24" ht="12.75">
      <c r="B18">
        <v>13</v>
      </c>
      <c r="C18">
        <f t="shared" si="6"/>
        <v>48</v>
      </c>
      <c r="D18" s="82">
        <f>VLOOKUP(C18,Komutacni!$A$9:$B$110,2)</f>
        <v>0.0056434765109171225</v>
      </c>
      <c r="E18" s="94">
        <f t="shared" si="11"/>
        <v>0.005141204185044964</v>
      </c>
      <c r="F18" s="94">
        <f t="shared" si="15"/>
        <v>0.9636510055974356</v>
      </c>
      <c r="G18">
        <f t="shared" si="7"/>
        <v>1</v>
      </c>
      <c r="H18" s="93">
        <v>0</v>
      </c>
      <c r="I18" s="1">
        <f>G18*Data!$F$5</f>
        <v>250000</v>
      </c>
      <c r="J18">
        <f t="shared" si="12"/>
        <v>1661.1333545963978</v>
      </c>
      <c r="K18" s="11">
        <f t="shared" si="13"/>
        <v>4983.400063789193</v>
      </c>
      <c r="L18" s="11">
        <f t="shared" si="14"/>
        <v>1285.3010462612408</v>
      </c>
      <c r="M18">
        <f t="shared" si="8"/>
        <v>0</v>
      </c>
      <c r="N18" s="1">
        <f t="shared" si="0"/>
        <v>1661.1333545963978</v>
      </c>
      <c r="O18" s="1">
        <f t="shared" si="1"/>
        <v>0</v>
      </c>
      <c r="P18" s="1">
        <f t="shared" si="2"/>
        <v>1285.3010462612408</v>
      </c>
      <c r="Q18" s="1">
        <f t="shared" si="3"/>
        <v>1661.1333545963978</v>
      </c>
      <c r="R18" s="1">
        <f t="shared" si="4"/>
        <v>4983.400063789193</v>
      </c>
      <c r="S18" s="1">
        <f t="shared" si="9"/>
        <v>2421.9805244562012</v>
      </c>
      <c r="U18" s="1">
        <f t="shared" si="10"/>
        <v>2421.9805244562012</v>
      </c>
      <c r="V18" s="1">
        <f t="shared" si="5"/>
        <v>3707.2815707174423</v>
      </c>
      <c r="W18" s="1">
        <f t="shared" si="5"/>
        <v>4083.1138790525993</v>
      </c>
      <c r="X18" s="1">
        <f t="shared" si="5"/>
        <v>7405.380588245394</v>
      </c>
    </row>
    <row r="19" spans="2:24" ht="12.75">
      <c r="B19">
        <v>14</v>
      </c>
      <c r="C19">
        <f t="shared" si="6"/>
        <v>49</v>
      </c>
      <c r="D19" s="82">
        <f>VLOOKUP(C19,Komutacni!$A$9:$B$110,2)</f>
        <v>0.006122665657883775</v>
      </c>
      <c r="E19" s="94">
        <f t="shared" si="11"/>
        <v>0.005438341814810792</v>
      </c>
      <c r="F19" s="94">
        <f t="shared" si="15"/>
        <v>0.9582126637826247</v>
      </c>
      <c r="G19">
        <f t="shared" si="7"/>
        <v>1</v>
      </c>
      <c r="H19" s="93">
        <v>0</v>
      </c>
      <c r="I19" s="1">
        <f>G19*Data!$F$5</f>
        <v>250000</v>
      </c>
      <c r="J19">
        <f t="shared" si="12"/>
        <v>1757.1391170489965</v>
      </c>
      <c r="K19" s="11">
        <f t="shared" si="13"/>
        <v>5271.41735114699</v>
      </c>
      <c r="L19" s="11">
        <f t="shared" si="14"/>
        <v>1359.585453702698</v>
      </c>
      <c r="M19">
        <f t="shared" si="8"/>
        <v>0</v>
      </c>
      <c r="N19" s="1">
        <f t="shared" si="0"/>
        <v>1757.1391170489965</v>
      </c>
      <c r="O19" s="1">
        <f t="shared" si="1"/>
        <v>0</v>
      </c>
      <c r="P19" s="1">
        <f t="shared" si="2"/>
        <v>1359.585453702698</v>
      </c>
      <c r="Q19" s="1">
        <f t="shared" si="3"/>
        <v>1757.1391170489965</v>
      </c>
      <c r="R19" s="1">
        <f t="shared" si="4"/>
        <v>5271.41735114699</v>
      </c>
      <c r="S19" s="1">
        <f t="shared" si="9"/>
        <v>2409.1275139935888</v>
      </c>
      <c r="U19" s="1">
        <f t="shared" si="10"/>
        <v>2409.1275139935888</v>
      </c>
      <c r="V19" s="1">
        <f t="shared" si="5"/>
        <v>3768.712967696287</v>
      </c>
      <c r="W19" s="1">
        <f t="shared" si="5"/>
        <v>4166.266631042585</v>
      </c>
      <c r="X19" s="1">
        <f t="shared" si="5"/>
        <v>7680.544865140579</v>
      </c>
    </row>
    <row r="20" spans="2:24" ht="12.75">
      <c r="B20">
        <v>15</v>
      </c>
      <c r="C20">
        <f t="shared" si="6"/>
        <v>50</v>
      </c>
      <c r="D20" s="82">
        <f>VLOOKUP(C20,Komutacni!$A$9:$B$110,2)</f>
        <v>0.006849409351221913</v>
      </c>
      <c r="E20" s="94">
        <f t="shared" si="11"/>
        <v>0.005866815769491208</v>
      </c>
      <c r="F20" s="94">
        <f t="shared" si="15"/>
        <v>0.9523458480131335</v>
      </c>
      <c r="G20">
        <f t="shared" si="7"/>
        <v>1</v>
      </c>
      <c r="H20" s="93">
        <v>0</v>
      </c>
      <c r="I20" s="1">
        <f>G20*Data!$F$5</f>
        <v>250000</v>
      </c>
      <c r="J20">
        <f t="shared" si="12"/>
        <v>1895.5799087541482</v>
      </c>
      <c r="K20" s="11">
        <f t="shared" si="13"/>
        <v>5686.7397262624445</v>
      </c>
      <c r="L20" s="11">
        <f t="shared" si="14"/>
        <v>1466.703942372802</v>
      </c>
      <c r="M20">
        <f t="shared" si="8"/>
        <v>0</v>
      </c>
      <c r="N20" s="1">
        <f t="shared" si="0"/>
        <v>1895.5799087541482</v>
      </c>
      <c r="O20" s="1">
        <f t="shared" si="1"/>
        <v>0</v>
      </c>
      <c r="P20" s="1">
        <f t="shared" si="2"/>
        <v>1466.703942372802</v>
      </c>
      <c r="Q20" s="1">
        <f t="shared" si="3"/>
        <v>1895.5799087541482</v>
      </c>
      <c r="R20" s="1">
        <f t="shared" si="4"/>
        <v>5686.7397262624445</v>
      </c>
      <c r="S20" s="1">
        <f t="shared" si="9"/>
        <v>2395.5316594565616</v>
      </c>
      <c r="U20" s="1">
        <f t="shared" si="10"/>
        <v>2395.5316594565616</v>
      </c>
      <c r="V20" s="1">
        <f t="shared" si="5"/>
        <v>3862.2356018293635</v>
      </c>
      <c r="W20" s="1">
        <f t="shared" si="5"/>
        <v>4291.11156821071</v>
      </c>
      <c r="X20" s="1">
        <f t="shared" si="5"/>
        <v>8082.2713857190065</v>
      </c>
    </row>
    <row r="21" spans="2:24" ht="12.75">
      <c r="B21">
        <v>16</v>
      </c>
      <c r="C21">
        <f t="shared" si="6"/>
        <v>51</v>
      </c>
      <c r="D21" s="82">
        <f>VLOOKUP(C21,Komutacni!$A$9:$B$110,2)</f>
        <v>0.007910080936601172</v>
      </c>
      <c r="E21" s="94">
        <f t="shared" si="11"/>
        <v>0.006523006556978519</v>
      </c>
      <c r="F21" s="94">
        <f t="shared" si="15"/>
        <v>0.9458228414561549</v>
      </c>
      <c r="G21">
        <f t="shared" si="7"/>
        <v>1</v>
      </c>
      <c r="H21" s="93">
        <v>0</v>
      </c>
      <c r="I21" s="1">
        <f>G21*Data!$F$5</f>
        <v>250000</v>
      </c>
      <c r="J21">
        <f t="shared" si="12"/>
        <v>2107.5964645728736</v>
      </c>
      <c r="K21" s="11">
        <f t="shared" si="13"/>
        <v>6322.789393718621</v>
      </c>
      <c r="L21" s="11">
        <f t="shared" si="14"/>
        <v>1630.7516392446298</v>
      </c>
      <c r="M21">
        <f t="shared" si="8"/>
        <v>0</v>
      </c>
      <c r="N21" s="1">
        <f t="shared" si="0"/>
        <v>2107.5964645728736</v>
      </c>
      <c r="O21" s="1">
        <f t="shared" si="1"/>
        <v>0</v>
      </c>
      <c r="P21" s="1">
        <f t="shared" si="2"/>
        <v>1630.7516392446298</v>
      </c>
      <c r="Q21" s="1">
        <f t="shared" si="3"/>
        <v>2107.5964645728736</v>
      </c>
      <c r="R21" s="1">
        <f t="shared" si="4"/>
        <v>6322.789393718621</v>
      </c>
      <c r="S21" s="1">
        <f t="shared" si="9"/>
        <v>2380.8646200328335</v>
      </c>
      <c r="U21" s="1">
        <f t="shared" si="10"/>
        <v>2380.8646200328335</v>
      </c>
      <c r="V21" s="1">
        <f t="shared" si="10"/>
        <v>4011.6162592774635</v>
      </c>
      <c r="W21" s="1">
        <f t="shared" si="10"/>
        <v>4488.461084605708</v>
      </c>
      <c r="X21" s="1">
        <f t="shared" si="10"/>
        <v>8703.654013751455</v>
      </c>
    </row>
    <row r="22" spans="2:24" ht="12.75">
      <c r="B22">
        <v>17</v>
      </c>
      <c r="C22">
        <f t="shared" si="6"/>
        <v>52</v>
      </c>
      <c r="D22" s="82">
        <f>VLOOKUP(C22,Komutacni!$A$9:$B$110,2)</f>
        <v>0.008792097184972647</v>
      </c>
      <c r="E22" s="94">
        <f t="shared" si="11"/>
        <v>0.007481535227604284</v>
      </c>
      <c r="F22" s="94">
        <f t="shared" si="15"/>
        <v>0.9383413062285506</v>
      </c>
      <c r="G22">
        <f t="shared" si="7"/>
        <v>1</v>
      </c>
      <c r="H22" s="93">
        <v>0</v>
      </c>
      <c r="I22" s="1">
        <f>G22*Data!$F$5</f>
        <v>250000</v>
      </c>
      <c r="J22">
        <f t="shared" si="12"/>
        <v>2417.298995109399</v>
      </c>
      <c r="K22" s="11">
        <f t="shared" si="13"/>
        <v>7251.896985328198</v>
      </c>
      <c r="L22" s="11">
        <f t="shared" si="14"/>
        <v>1870.383806901071</v>
      </c>
      <c r="M22">
        <f t="shared" si="8"/>
        <v>0</v>
      </c>
      <c r="N22" s="1">
        <f t="shared" si="0"/>
        <v>2417.298995109399</v>
      </c>
      <c r="O22" s="1">
        <f t="shared" si="1"/>
        <v>0</v>
      </c>
      <c r="P22" s="1">
        <f t="shared" si="2"/>
        <v>1870.383806901071</v>
      </c>
      <c r="Q22" s="1">
        <f t="shared" si="3"/>
        <v>2417.298995109399</v>
      </c>
      <c r="R22" s="1">
        <f t="shared" si="4"/>
        <v>7251.896985328198</v>
      </c>
      <c r="S22" s="1">
        <f t="shared" si="9"/>
        <v>2364.557103640387</v>
      </c>
      <c r="U22" s="1">
        <f t="shared" si="10"/>
        <v>2364.557103640387</v>
      </c>
      <c r="V22" s="1">
        <f t="shared" si="10"/>
        <v>4234.940910541458</v>
      </c>
      <c r="W22" s="1">
        <f t="shared" si="10"/>
        <v>4781.856098749786</v>
      </c>
      <c r="X22" s="1">
        <f t="shared" si="10"/>
        <v>9616.454088968585</v>
      </c>
    </row>
    <row r="23" spans="2:24" ht="12.75">
      <c r="B23">
        <v>18</v>
      </c>
      <c r="C23">
        <f t="shared" si="6"/>
        <v>53</v>
      </c>
      <c r="D23" s="82">
        <f>VLOOKUP(C23,Komutacni!$A$9:$B$110,2)</f>
        <v>0.009821467637900039</v>
      </c>
      <c r="E23" s="94">
        <f t="shared" si="11"/>
        <v>0.008249987957035597</v>
      </c>
      <c r="F23" s="94">
        <f t="shared" si="15"/>
        <v>0.930091318271515</v>
      </c>
      <c r="G23">
        <f t="shared" si="7"/>
        <v>1</v>
      </c>
      <c r="H23" s="93">
        <v>0</v>
      </c>
      <c r="I23" s="1">
        <f>G23*Data!$F$5</f>
        <v>250000</v>
      </c>
      <c r="J23">
        <f t="shared" si="12"/>
        <v>2665.5876088941154</v>
      </c>
      <c r="K23" s="11">
        <f t="shared" si="13"/>
        <v>7996.762826682347</v>
      </c>
      <c r="L23" s="11">
        <f t="shared" si="14"/>
        <v>2062.4969892588992</v>
      </c>
      <c r="M23">
        <f t="shared" si="8"/>
        <v>0</v>
      </c>
      <c r="N23" s="1">
        <f t="shared" si="0"/>
        <v>2665.5876088941154</v>
      </c>
      <c r="O23" s="1">
        <f t="shared" si="1"/>
        <v>0</v>
      </c>
      <c r="P23" s="1">
        <f t="shared" si="2"/>
        <v>2062.4969892588992</v>
      </c>
      <c r="Q23" s="1">
        <f t="shared" si="3"/>
        <v>2665.5876088941154</v>
      </c>
      <c r="R23" s="1">
        <f t="shared" si="4"/>
        <v>7996.762826682347</v>
      </c>
      <c r="S23" s="1">
        <f t="shared" si="9"/>
        <v>2345.8532655713766</v>
      </c>
      <c r="U23" s="1">
        <f t="shared" si="10"/>
        <v>2345.8532655713766</v>
      </c>
      <c r="V23" s="1">
        <f t="shared" si="10"/>
        <v>4408.350254830276</v>
      </c>
      <c r="W23" s="1">
        <f t="shared" si="10"/>
        <v>5011.440874465492</v>
      </c>
      <c r="X23" s="1">
        <f t="shared" si="10"/>
        <v>10342.616092253724</v>
      </c>
    </row>
    <row r="24" spans="2:24" ht="12.75">
      <c r="B24">
        <v>19</v>
      </c>
      <c r="C24">
        <f t="shared" si="6"/>
        <v>54</v>
      </c>
      <c r="D24" s="82">
        <f>VLOOKUP(C24,Komutacni!$A$9:$B$110,2)</f>
        <v>0.010554576647437197</v>
      </c>
      <c r="E24" s="94">
        <f t="shared" si="11"/>
        <v>0.00913486178269547</v>
      </c>
      <c r="F24" s="94">
        <f t="shared" si="15"/>
        <v>0.9209564564888195</v>
      </c>
      <c r="G24">
        <f t="shared" si="7"/>
        <v>1</v>
      </c>
      <c r="H24" s="93">
        <v>0</v>
      </c>
      <c r="I24" s="1">
        <f>G24*Data!$F$5</f>
        <v>250000</v>
      </c>
      <c r="J24">
        <f t="shared" si="12"/>
        <v>2951.492111712472</v>
      </c>
      <c r="K24" s="11">
        <f t="shared" si="13"/>
        <v>8854.476335137415</v>
      </c>
      <c r="L24" s="11">
        <f t="shared" si="14"/>
        <v>2283.7154456738676</v>
      </c>
      <c r="M24">
        <f t="shared" si="8"/>
        <v>0</v>
      </c>
      <c r="N24" s="1">
        <f t="shared" si="0"/>
        <v>2951.492111712472</v>
      </c>
      <c r="O24" s="1">
        <f t="shared" si="1"/>
        <v>0</v>
      </c>
      <c r="P24" s="1">
        <f t="shared" si="2"/>
        <v>2283.7154456738676</v>
      </c>
      <c r="Q24" s="1">
        <f t="shared" si="3"/>
        <v>2951.492111712472</v>
      </c>
      <c r="R24" s="1">
        <f t="shared" si="4"/>
        <v>8854.476335137415</v>
      </c>
      <c r="S24" s="1">
        <f t="shared" si="9"/>
        <v>2325.2282956787876</v>
      </c>
      <c r="U24" s="1">
        <f t="shared" si="10"/>
        <v>2325.2282956787876</v>
      </c>
      <c r="V24" s="1">
        <f t="shared" si="10"/>
        <v>4608.943741352656</v>
      </c>
      <c r="W24" s="1">
        <f t="shared" si="10"/>
        <v>5276.72040739126</v>
      </c>
      <c r="X24" s="1">
        <f t="shared" si="10"/>
        <v>11179.704630816203</v>
      </c>
    </row>
    <row r="25" spans="2:24" ht="12.75">
      <c r="B25">
        <v>20</v>
      </c>
      <c r="C25">
        <f t="shared" si="6"/>
        <v>55</v>
      </c>
      <c r="D25" s="82">
        <f>VLOOKUP(C25,Komutacni!$A$9:$B$110,2)</f>
        <v>0.011443795083814101</v>
      </c>
      <c r="E25" s="94">
        <f t="shared" si="11"/>
        <v>0.009720305508963406</v>
      </c>
      <c r="F25" s="94">
        <f t="shared" si="15"/>
        <v>0.9112361509798561</v>
      </c>
      <c r="G25">
        <f t="shared" si="7"/>
        <v>1</v>
      </c>
      <c r="H25" s="93">
        <v>0</v>
      </c>
      <c r="I25" s="1">
        <f>G25*Data!$F$5</f>
        <v>250000</v>
      </c>
      <c r="J25">
        <f t="shared" si="12"/>
        <v>3140.6501505570945</v>
      </c>
      <c r="K25" s="11">
        <f t="shared" si="13"/>
        <v>9421.950451671284</v>
      </c>
      <c r="L25" s="11">
        <f t="shared" si="14"/>
        <v>2430.076377240852</v>
      </c>
      <c r="M25">
        <f t="shared" si="8"/>
        <v>0</v>
      </c>
      <c r="N25" s="1">
        <f t="shared" si="0"/>
        <v>3140.6501505570945</v>
      </c>
      <c r="O25" s="1">
        <f t="shared" si="1"/>
        <v>0</v>
      </c>
      <c r="P25" s="1">
        <f t="shared" si="2"/>
        <v>2430.076377240852</v>
      </c>
      <c r="Q25" s="1">
        <f t="shared" si="3"/>
        <v>3140.6501505570945</v>
      </c>
      <c r="R25" s="1">
        <f t="shared" si="4"/>
        <v>9421.950451671284</v>
      </c>
      <c r="S25" s="1">
        <f t="shared" si="9"/>
        <v>2302.3911412220486</v>
      </c>
      <c r="U25" s="1">
        <f t="shared" si="10"/>
        <v>2302.3911412220486</v>
      </c>
      <c r="V25" s="1">
        <f t="shared" si="10"/>
        <v>4732.4675184629</v>
      </c>
      <c r="W25" s="1">
        <f t="shared" si="10"/>
        <v>5443.041291779144</v>
      </c>
      <c r="X25" s="1">
        <f t="shared" si="10"/>
        <v>11724.341592893332</v>
      </c>
    </row>
    <row r="26" spans="2:24" ht="12.75">
      <c r="B26">
        <v>21</v>
      </c>
      <c r="C26">
        <f t="shared" si="6"/>
        <v>56</v>
      </c>
      <c r="D26" s="82">
        <f>VLOOKUP(C26,Komutacni!$A$9:$B$110,2)</f>
        <v>0.012443465985871871</v>
      </c>
      <c r="E26" s="94">
        <f t="shared" si="11"/>
        <v>0.01042799978477696</v>
      </c>
      <c r="F26" s="94">
        <f t="shared" si="15"/>
        <v>0.9008081511950792</v>
      </c>
      <c r="G26">
        <f t="shared" si="7"/>
        <v>1</v>
      </c>
      <c r="H26" s="93">
        <v>0</v>
      </c>
      <c r="I26" s="1">
        <f>G26*Data!$F$5</f>
        <v>250000</v>
      </c>
      <c r="J26">
        <f t="shared" si="12"/>
        <v>3369.3075864610055</v>
      </c>
      <c r="K26" s="11">
        <f t="shared" si="13"/>
        <v>10107.922759383016</v>
      </c>
      <c r="L26" s="11">
        <f t="shared" si="14"/>
        <v>2606.9999461942402</v>
      </c>
      <c r="M26">
        <f t="shared" si="8"/>
        <v>0</v>
      </c>
      <c r="N26" s="1">
        <f t="shared" si="0"/>
        <v>3369.3075864610055</v>
      </c>
      <c r="O26" s="1">
        <f t="shared" si="1"/>
        <v>0</v>
      </c>
      <c r="P26" s="1">
        <f t="shared" si="2"/>
        <v>2606.9999461942402</v>
      </c>
      <c r="Q26" s="1">
        <f t="shared" si="3"/>
        <v>3369.3075864610055</v>
      </c>
      <c r="R26" s="1">
        <f t="shared" si="4"/>
        <v>10107.922759383016</v>
      </c>
      <c r="S26" s="1">
        <f t="shared" si="9"/>
        <v>2278.09037744964</v>
      </c>
      <c r="U26" s="1">
        <f t="shared" si="10"/>
        <v>2278.09037744964</v>
      </c>
      <c r="V26" s="1">
        <f t="shared" si="10"/>
        <v>4885.090323643881</v>
      </c>
      <c r="W26" s="1">
        <f t="shared" si="10"/>
        <v>5647.397963910646</v>
      </c>
      <c r="X26" s="1">
        <f t="shared" si="10"/>
        <v>12386.013136832657</v>
      </c>
    </row>
    <row r="27" spans="2:24" ht="12.75">
      <c r="B27">
        <v>22</v>
      </c>
      <c r="C27">
        <f t="shared" si="6"/>
        <v>57</v>
      </c>
      <c r="D27" s="82">
        <f>VLOOKUP(C27,Komutacni!$A$9:$B$110,2)</f>
        <v>0.013825797858205036</v>
      </c>
      <c r="E27" s="94">
        <f t="shared" si="11"/>
        <v>0.011209175589192093</v>
      </c>
      <c r="F27" s="94">
        <f t="shared" si="15"/>
        <v>0.8895989756058871</v>
      </c>
      <c r="G27">
        <f t="shared" si="7"/>
        <v>1</v>
      </c>
      <c r="H27" s="93">
        <v>0</v>
      </c>
      <c r="I27" s="1">
        <f>G27*Data!$F$5</f>
        <v>250000</v>
      </c>
      <c r="J27">
        <f t="shared" si="12"/>
        <v>3621.7070512191435</v>
      </c>
      <c r="K27" s="11">
        <f t="shared" si="13"/>
        <v>10865.12115365743</v>
      </c>
      <c r="L27" s="11">
        <f t="shared" si="14"/>
        <v>2802.2938972980232</v>
      </c>
      <c r="M27">
        <f t="shared" si="8"/>
        <v>0</v>
      </c>
      <c r="N27" s="1">
        <f t="shared" si="0"/>
        <v>3621.7070512191435</v>
      </c>
      <c r="O27" s="1">
        <f t="shared" si="1"/>
        <v>0</v>
      </c>
      <c r="P27" s="1">
        <f t="shared" si="2"/>
        <v>2802.2938972980232</v>
      </c>
      <c r="Q27" s="1">
        <f t="shared" si="3"/>
        <v>3621.7070512191435</v>
      </c>
      <c r="R27" s="1">
        <f t="shared" si="4"/>
        <v>10865.12115365743</v>
      </c>
      <c r="S27" s="1">
        <f t="shared" si="9"/>
        <v>2252.020377987698</v>
      </c>
      <c r="U27" s="1">
        <f t="shared" si="10"/>
        <v>2252.020377987698</v>
      </c>
      <c r="V27" s="1">
        <f t="shared" si="10"/>
        <v>5054.314275285721</v>
      </c>
      <c r="W27" s="1">
        <f t="shared" si="10"/>
        <v>5873.727429206841</v>
      </c>
      <c r="X27" s="1">
        <f t="shared" si="10"/>
        <v>13117.141531645128</v>
      </c>
    </row>
    <row r="28" spans="2:24" ht="12.75">
      <c r="B28">
        <v>23</v>
      </c>
      <c r="C28">
        <f t="shared" si="6"/>
        <v>58</v>
      </c>
      <c r="D28" s="82">
        <f>VLOOKUP(C28,Komutacni!$A$9:$B$110,2)</f>
        <v>0.015348503948217407</v>
      </c>
      <c r="E28" s="94">
        <f t="shared" si="11"/>
        <v>0.012299415611593267</v>
      </c>
      <c r="F28" s="94">
        <f t="shared" si="15"/>
        <v>0.8772995599942938</v>
      </c>
      <c r="G28">
        <f t="shared" si="7"/>
        <v>1</v>
      </c>
      <c r="H28" s="93">
        <v>0</v>
      </c>
      <c r="I28" s="1">
        <f>G28*Data!$F$5</f>
        <v>250000</v>
      </c>
      <c r="J28">
        <f t="shared" si="12"/>
        <v>3973.9657829370076</v>
      </c>
      <c r="K28" s="11">
        <f t="shared" si="13"/>
        <v>11921.897348811022</v>
      </c>
      <c r="L28" s="11">
        <f t="shared" si="14"/>
        <v>3074.853902898317</v>
      </c>
      <c r="M28">
        <f t="shared" si="8"/>
        <v>0</v>
      </c>
      <c r="N28" s="1">
        <f t="shared" si="0"/>
        <v>3973.9657829370076</v>
      </c>
      <c r="O28" s="1">
        <f t="shared" si="1"/>
        <v>0</v>
      </c>
      <c r="P28" s="1">
        <f t="shared" si="2"/>
        <v>3074.853902898317</v>
      </c>
      <c r="Q28" s="1">
        <f t="shared" si="3"/>
        <v>3973.9657829370076</v>
      </c>
      <c r="R28" s="1">
        <f t="shared" si="4"/>
        <v>11921.897348811022</v>
      </c>
      <c r="S28" s="1">
        <f t="shared" si="9"/>
        <v>2223.9974390147177</v>
      </c>
      <c r="U28" s="1">
        <f t="shared" si="10"/>
        <v>2223.9974390147177</v>
      </c>
      <c r="V28" s="1">
        <f t="shared" si="10"/>
        <v>5298.851341913034</v>
      </c>
      <c r="W28" s="1">
        <f t="shared" si="10"/>
        <v>6197.963221951725</v>
      </c>
      <c r="X28" s="1">
        <f t="shared" si="10"/>
        <v>14145.89478782574</v>
      </c>
    </row>
    <row r="29" spans="2:24" ht="12.75">
      <c r="B29">
        <v>24</v>
      </c>
      <c r="C29">
        <f t="shared" si="6"/>
        <v>59</v>
      </c>
      <c r="D29" s="82">
        <f>VLOOKUP(C29,Komutacni!$A$9:$B$110,2)</f>
        <v>0.016774313021757803</v>
      </c>
      <c r="E29" s="94">
        <f t="shared" si="11"/>
        <v>0.013465235760341811</v>
      </c>
      <c r="F29" s="94">
        <f t="shared" si="15"/>
        <v>0.8638343242339519</v>
      </c>
      <c r="G29">
        <f t="shared" si="7"/>
        <v>1</v>
      </c>
      <c r="H29" s="93">
        <v>0</v>
      </c>
      <c r="I29" s="1">
        <f>G29*Data!$F$5</f>
        <v>250000</v>
      </c>
      <c r="J29">
        <f t="shared" si="12"/>
        <v>4350.64460463796</v>
      </c>
      <c r="K29" s="11">
        <f t="shared" si="13"/>
        <v>13051.93381391388</v>
      </c>
      <c r="L29" s="11">
        <f t="shared" si="14"/>
        <v>3366.308940085453</v>
      </c>
      <c r="M29">
        <f t="shared" si="8"/>
        <v>0</v>
      </c>
      <c r="N29" s="1">
        <f t="shared" si="0"/>
        <v>4350.64460463796</v>
      </c>
      <c r="O29" s="1">
        <f t="shared" si="1"/>
        <v>0</v>
      </c>
      <c r="P29" s="1">
        <f t="shared" si="2"/>
        <v>3366.308940085453</v>
      </c>
      <c r="Q29" s="1">
        <f t="shared" si="3"/>
        <v>4350.64460463796</v>
      </c>
      <c r="R29" s="1">
        <f t="shared" si="4"/>
        <v>13051.93381391388</v>
      </c>
      <c r="S29" s="1">
        <f t="shared" si="9"/>
        <v>2193.2488999857346</v>
      </c>
      <c r="U29" s="1">
        <f t="shared" si="10"/>
        <v>2193.2488999857346</v>
      </c>
      <c r="V29" s="1">
        <f t="shared" si="10"/>
        <v>5559.5578400711875</v>
      </c>
      <c r="W29" s="1">
        <f t="shared" si="10"/>
        <v>6543.893504623695</v>
      </c>
      <c r="X29" s="1">
        <f t="shared" si="10"/>
        <v>15245.182713899614</v>
      </c>
    </row>
    <row r="30" spans="2:24" ht="12.75">
      <c r="B30">
        <v>25</v>
      </c>
      <c r="C30">
        <f t="shared" si="6"/>
        <v>60</v>
      </c>
      <c r="D30" s="82">
        <f>VLOOKUP(C30,Komutacni!$A$9:$B$110,2)</f>
        <v>0.018152137048176864</v>
      </c>
      <c r="E30" s="94">
        <f t="shared" si="11"/>
        <v>0.014490227353638932</v>
      </c>
      <c r="F30" s="94">
        <f t="shared" si="15"/>
        <v>0.849344096880313</v>
      </c>
      <c r="G30">
        <f t="shared" si="7"/>
        <v>1</v>
      </c>
      <c r="H30" s="93">
        <v>0</v>
      </c>
      <c r="I30" s="1">
        <f>G30*Data!$F$5</f>
        <v>250000</v>
      </c>
      <c r="J30">
        <f t="shared" si="12"/>
        <v>4681.821438415446</v>
      </c>
      <c r="K30" s="11">
        <f t="shared" si="13"/>
        <v>14045.464315246338</v>
      </c>
      <c r="L30" s="11">
        <f t="shared" si="14"/>
        <v>3622.556838409733</v>
      </c>
      <c r="M30">
        <f t="shared" si="8"/>
        <v>274424.7763902229</v>
      </c>
      <c r="N30" s="1">
        <f t="shared" si="0"/>
        <v>4681.821438415446</v>
      </c>
      <c r="O30" s="1">
        <f t="shared" si="1"/>
        <v>274424.7763902229</v>
      </c>
      <c r="P30" s="1">
        <f t="shared" si="2"/>
        <v>278047.33322863263</v>
      </c>
      <c r="Q30" s="1">
        <f t="shared" si="3"/>
        <v>279106.59782863833</v>
      </c>
      <c r="R30" s="1">
        <f t="shared" si="4"/>
        <v>288470.2407054692</v>
      </c>
      <c r="S30" s="1">
        <f t="shared" si="9"/>
        <v>-7153.727014936816</v>
      </c>
      <c r="U30" s="1">
        <f t="shared" si="10"/>
        <v>267271.0493752861</v>
      </c>
      <c r="V30" s="1">
        <f t="shared" si="10"/>
        <v>270893.60621369584</v>
      </c>
      <c r="W30" s="1">
        <f t="shared" si="10"/>
        <v>271952.87081370153</v>
      </c>
      <c r="X30" s="1">
        <f t="shared" si="10"/>
        <v>281316.5136905324</v>
      </c>
    </row>
    <row r="31" spans="2:24" ht="12.75">
      <c r="B31">
        <v>26</v>
      </c>
      <c r="C31">
        <f t="shared" si="6"/>
        <v>61</v>
      </c>
      <c r="D31" s="82">
        <f>VLOOKUP(C31,Komutacni!$A$9:$B$110,2)</f>
        <v>0.019671315604072204</v>
      </c>
      <c r="E31" s="94">
        <f t="shared" si="11"/>
        <v>0.015417410447631449</v>
      </c>
      <c r="F31" s="94">
        <f t="shared" si="15"/>
        <v>0.8339266864326815</v>
      </c>
      <c r="G31">
        <f t="shared" si="7"/>
        <v>0</v>
      </c>
      <c r="H31" s="93">
        <v>0</v>
      </c>
      <c r="I31" s="1">
        <f>G31*Data!$F$5</f>
        <v>0</v>
      </c>
      <c r="J31">
        <f t="shared" si="12"/>
        <v>0</v>
      </c>
      <c r="K31" s="11">
        <f t="shared" si="13"/>
        <v>0</v>
      </c>
      <c r="L31" s="11">
        <f t="shared" si="14"/>
        <v>0</v>
      </c>
      <c r="M31">
        <f t="shared" si="8"/>
        <v>0</v>
      </c>
      <c r="N31" s="1">
        <f t="shared" si="0"/>
        <v>0</v>
      </c>
      <c r="O31" s="1">
        <f t="shared" si="1"/>
        <v>0</v>
      </c>
      <c r="P31" s="1">
        <f t="shared" si="2"/>
        <v>0</v>
      </c>
      <c r="Q31" s="1">
        <f t="shared" si="3"/>
        <v>0</v>
      </c>
      <c r="R31" s="1">
        <f t="shared" si="4"/>
        <v>0</v>
      </c>
      <c r="S31" s="1">
        <f t="shared" si="9"/>
        <v>0</v>
      </c>
      <c r="U31" s="1">
        <f t="shared" si="10"/>
        <v>0</v>
      </c>
      <c r="V31" s="1">
        <f t="shared" si="10"/>
        <v>0</v>
      </c>
      <c r="W31" s="1">
        <f t="shared" si="10"/>
        <v>0</v>
      </c>
      <c r="X31" s="1">
        <f t="shared" si="10"/>
        <v>0</v>
      </c>
    </row>
    <row r="32" spans="2:24" ht="12.75">
      <c r="B32">
        <v>27</v>
      </c>
      <c r="C32">
        <f t="shared" si="6"/>
        <v>62</v>
      </c>
      <c r="D32" s="82">
        <f>VLOOKUP(C32,Komutacni!$A$9:$B$110,2)</f>
        <v>0.02075327352709666</v>
      </c>
      <c r="E32" s="94">
        <f t="shared" si="11"/>
        <v>0.016404435039475435</v>
      </c>
      <c r="F32" s="94">
        <f t="shared" si="15"/>
        <v>0.8175222513932061</v>
      </c>
      <c r="G32">
        <f t="shared" si="7"/>
        <v>0</v>
      </c>
      <c r="H32" s="93">
        <v>0</v>
      </c>
      <c r="I32" s="1">
        <f>G32*Data!$F$5</f>
        <v>0</v>
      </c>
      <c r="J32">
        <f t="shared" si="12"/>
        <v>0</v>
      </c>
      <c r="K32" s="11">
        <f t="shared" si="13"/>
        <v>0</v>
      </c>
      <c r="L32" s="11">
        <f t="shared" si="14"/>
        <v>0</v>
      </c>
      <c r="M32">
        <f t="shared" si="8"/>
        <v>0</v>
      </c>
      <c r="N32" s="1">
        <f t="shared" si="0"/>
        <v>0</v>
      </c>
      <c r="O32" s="1">
        <f t="shared" si="1"/>
        <v>0</v>
      </c>
      <c r="P32" s="1">
        <f t="shared" si="2"/>
        <v>0</v>
      </c>
      <c r="Q32" s="1">
        <f t="shared" si="3"/>
        <v>0</v>
      </c>
      <c r="R32" s="1">
        <f t="shared" si="4"/>
        <v>0</v>
      </c>
      <c r="S32" s="1">
        <f t="shared" si="9"/>
        <v>0</v>
      </c>
      <c r="U32" s="1">
        <f t="shared" si="10"/>
        <v>0</v>
      </c>
      <c r="V32" s="1">
        <f t="shared" si="10"/>
        <v>0</v>
      </c>
      <c r="W32" s="1">
        <f t="shared" si="10"/>
        <v>0</v>
      </c>
      <c r="X32" s="1">
        <f t="shared" si="10"/>
        <v>0</v>
      </c>
    </row>
    <row r="33" spans="2:24" ht="12.75">
      <c r="B33">
        <v>28</v>
      </c>
      <c r="C33">
        <f t="shared" si="6"/>
        <v>63</v>
      </c>
      <c r="D33" s="82">
        <f>VLOOKUP(C33,Komutacni!$A$9:$B$110,2)</f>
        <v>0.021891338150767714</v>
      </c>
      <c r="E33" s="94">
        <f t="shared" si="11"/>
        <v>0.016966262897651085</v>
      </c>
      <c r="F33" s="94">
        <f t="shared" si="15"/>
        <v>0.800555988495555</v>
      </c>
      <c r="G33">
        <f t="shared" si="7"/>
        <v>0</v>
      </c>
      <c r="H33" s="93">
        <v>0</v>
      </c>
      <c r="I33" s="1">
        <f>G33*Data!$F$5</f>
        <v>0</v>
      </c>
      <c r="J33">
        <f t="shared" si="12"/>
        <v>0</v>
      </c>
      <c r="K33" s="11">
        <f t="shared" si="13"/>
        <v>0</v>
      </c>
      <c r="L33" s="11">
        <f t="shared" si="14"/>
        <v>0</v>
      </c>
      <c r="M33">
        <f t="shared" si="8"/>
        <v>0</v>
      </c>
      <c r="N33" s="1">
        <f t="shared" si="0"/>
        <v>0</v>
      </c>
      <c r="O33" s="1">
        <f t="shared" si="1"/>
        <v>0</v>
      </c>
      <c r="P33" s="1">
        <f t="shared" si="2"/>
        <v>0</v>
      </c>
      <c r="Q33" s="1">
        <f t="shared" si="3"/>
        <v>0</v>
      </c>
      <c r="R33" s="1">
        <f t="shared" si="4"/>
        <v>0</v>
      </c>
      <c r="S33" s="1">
        <f t="shared" si="9"/>
        <v>0</v>
      </c>
      <c r="U33" s="1">
        <f t="shared" si="10"/>
        <v>0</v>
      </c>
      <c r="V33" s="1">
        <f t="shared" si="10"/>
        <v>0</v>
      </c>
      <c r="W33" s="1">
        <f t="shared" si="10"/>
        <v>0</v>
      </c>
      <c r="X33" s="1">
        <f t="shared" si="10"/>
        <v>0</v>
      </c>
    </row>
    <row r="34" spans="2:24" ht="12.75">
      <c r="B34">
        <v>29</v>
      </c>
      <c r="C34">
        <f t="shared" si="6"/>
        <v>64</v>
      </c>
      <c r="D34" s="82">
        <f>VLOOKUP(C34,Komutacni!$A$9:$B$110,2)</f>
        <v>0.024024721098692692</v>
      </c>
      <c r="E34" s="94">
        <f t="shared" si="11"/>
        <v>0.017525241852778303</v>
      </c>
      <c r="F34" s="94">
        <f t="shared" si="15"/>
        <v>0.7830307466427767</v>
      </c>
      <c r="G34">
        <f t="shared" si="7"/>
        <v>0</v>
      </c>
      <c r="H34" s="93">
        <v>0</v>
      </c>
      <c r="I34" s="1">
        <f>G34*Data!$F$5</f>
        <v>0</v>
      </c>
      <c r="J34">
        <f t="shared" si="12"/>
        <v>0</v>
      </c>
      <c r="K34" s="11">
        <f t="shared" si="13"/>
        <v>0</v>
      </c>
      <c r="L34" s="11">
        <f t="shared" si="14"/>
        <v>0</v>
      </c>
      <c r="M34">
        <f t="shared" si="8"/>
        <v>0</v>
      </c>
      <c r="N34" s="1">
        <f t="shared" si="0"/>
        <v>0</v>
      </c>
      <c r="O34" s="1">
        <f t="shared" si="1"/>
        <v>0</v>
      </c>
      <c r="P34" s="1">
        <f t="shared" si="2"/>
        <v>0</v>
      </c>
      <c r="Q34" s="1">
        <f t="shared" si="3"/>
        <v>0</v>
      </c>
      <c r="R34" s="1">
        <f t="shared" si="4"/>
        <v>0</v>
      </c>
      <c r="S34" s="1">
        <f t="shared" si="9"/>
        <v>0</v>
      </c>
      <c r="U34" s="1">
        <f t="shared" si="10"/>
        <v>0</v>
      </c>
      <c r="V34" s="1">
        <f t="shared" si="10"/>
        <v>0</v>
      </c>
      <c r="W34" s="1">
        <f t="shared" si="10"/>
        <v>0</v>
      </c>
      <c r="X34" s="1">
        <f t="shared" si="10"/>
        <v>0</v>
      </c>
    </row>
    <row r="35" spans="2:24" ht="12.75">
      <c r="B35">
        <v>30</v>
      </c>
      <c r="C35">
        <f t="shared" si="6"/>
        <v>65</v>
      </c>
      <c r="D35" s="82">
        <f>VLOOKUP(C35,Komutacni!$A$9:$B$110,2)</f>
        <v>0.026493334177534522</v>
      </c>
      <c r="E35" s="94">
        <f t="shared" si="11"/>
        <v>0.01881209529979381</v>
      </c>
      <c r="F35" s="94">
        <f t="shared" si="15"/>
        <v>0.764218651342983</v>
      </c>
      <c r="G35">
        <f t="shared" si="7"/>
        <v>0</v>
      </c>
      <c r="H35" s="93">
        <v>0</v>
      </c>
      <c r="I35" s="1">
        <f>G35*Data!$F$5</f>
        <v>0</v>
      </c>
      <c r="J35">
        <f t="shared" si="12"/>
        <v>0</v>
      </c>
      <c r="K35" s="11">
        <f t="shared" si="13"/>
        <v>0</v>
      </c>
      <c r="L35" s="11">
        <f t="shared" si="14"/>
        <v>0</v>
      </c>
      <c r="M35">
        <f t="shared" si="8"/>
        <v>0</v>
      </c>
      <c r="N35" s="1">
        <f t="shared" si="0"/>
        <v>0</v>
      </c>
      <c r="O35" s="1">
        <f t="shared" si="1"/>
        <v>0</v>
      </c>
      <c r="P35" s="1">
        <f t="shared" si="2"/>
        <v>0</v>
      </c>
      <c r="Q35" s="1">
        <f t="shared" si="3"/>
        <v>0</v>
      </c>
      <c r="R35" s="1">
        <f t="shared" si="4"/>
        <v>0</v>
      </c>
      <c r="S35" s="1">
        <f t="shared" si="9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si="10"/>
        <v>0</v>
      </c>
    </row>
    <row r="36" spans="2:24" ht="12.75">
      <c r="B36">
        <v>31</v>
      </c>
      <c r="C36">
        <f t="shared" si="6"/>
        <v>66</v>
      </c>
      <c r="D36" s="82">
        <f>VLOOKUP(C36,Komutacni!$A$9:$B$110,2)</f>
        <v>0.02922212915423661</v>
      </c>
      <c r="E36" s="94">
        <f t="shared" si="11"/>
        <v>0.020246700114734388</v>
      </c>
      <c r="F36" s="94">
        <f t="shared" si="15"/>
        <v>0.7439719512282486</v>
      </c>
      <c r="G36">
        <f t="shared" si="7"/>
        <v>0</v>
      </c>
      <c r="H36" s="93">
        <v>0</v>
      </c>
      <c r="I36" s="1">
        <f>G36*Data!$F$5</f>
        <v>0</v>
      </c>
      <c r="J36">
        <f t="shared" si="12"/>
        <v>0</v>
      </c>
      <c r="K36" s="11">
        <f t="shared" si="13"/>
        <v>0</v>
      </c>
      <c r="L36" s="11">
        <f t="shared" si="14"/>
        <v>0</v>
      </c>
      <c r="M36">
        <f t="shared" si="8"/>
        <v>0</v>
      </c>
      <c r="N36" s="1">
        <f t="shared" si="0"/>
        <v>0</v>
      </c>
      <c r="O36" s="1">
        <f t="shared" si="1"/>
        <v>0</v>
      </c>
      <c r="P36" s="1">
        <f t="shared" si="2"/>
        <v>0</v>
      </c>
      <c r="Q36" s="1">
        <f t="shared" si="3"/>
        <v>0</v>
      </c>
      <c r="R36" s="1">
        <f t="shared" si="4"/>
        <v>0</v>
      </c>
      <c r="S36" s="1">
        <f t="shared" si="9"/>
        <v>0</v>
      </c>
      <c r="U36" s="1">
        <f t="shared" si="10"/>
        <v>0</v>
      </c>
      <c r="V36" s="1">
        <f t="shared" si="10"/>
        <v>0</v>
      </c>
      <c r="W36" s="1">
        <f t="shared" si="10"/>
        <v>0</v>
      </c>
      <c r="X36" s="1">
        <f t="shared" si="10"/>
        <v>0</v>
      </c>
    </row>
    <row r="37" spans="2:24" ht="12.75">
      <c r="B37">
        <v>32</v>
      </c>
      <c r="C37">
        <f t="shared" si="6"/>
        <v>67</v>
      </c>
      <c r="D37" s="82">
        <f>VLOOKUP(C37,Komutacni!$A$9:$B$110,2)</f>
        <v>0.031887900205862296</v>
      </c>
      <c r="E37" s="94">
        <f t="shared" si="11"/>
        <v>0.021740444445921298</v>
      </c>
      <c r="F37" s="94">
        <f t="shared" si="15"/>
        <v>0.7222315067823273</v>
      </c>
      <c r="G37">
        <f t="shared" si="7"/>
        <v>0</v>
      </c>
      <c r="H37" s="93">
        <v>0</v>
      </c>
      <c r="I37" s="1">
        <f>G37*Data!$F$5</f>
        <v>0</v>
      </c>
      <c r="J37">
        <f t="shared" si="12"/>
        <v>0</v>
      </c>
      <c r="K37" s="11">
        <f t="shared" si="13"/>
        <v>0</v>
      </c>
      <c r="L37" s="11">
        <f t="shared" si="14"/>
        <v>0</v>
      </c>
      <c r="M37">
        <f t="shared" si="8"/>
        <v>0</v>
      </c>
      <c r="N37" s="1">
        <f aca="true" t="shared" si="16" ref="N37:N55">J37-H37</f>
        <v>0</v>
      </c>
      <c r="O37" s="1">
        <f aca="true" t="shared" si="17" ref="O37:O55">M37-H37</f>
        <v>0</v>
      </c>
      <c r="P37" s="1">
        <f aca="true" t="shared" si="18" ref="P37:P55">L37+M37-H37</f>
        <v>0</v>
      </c>
      <c r="Q37" s="1">
        <f aca="true" t="shared" si="19" ref="Q37:Q55">J37+M37-H37</f>
        <v>0</v>
      </c>
      <c r="R37" s="1">
        <f aca="true" t="shared" si="20" ref="R37:R55">M37+K37+-H37</f>
        <v>0</v>
      </c>
      <c r="S37" s="1">
        <f t="shared" si="9"/>
        <v>0</v>
      </c>
      <c r="U37" s="1">
        <f t="shared" si="10"/>
        <v>0</v>
      </c>
      <c r="V37" s="1">
        <f t="shared" si="10"/>
        <v>0</v>
      </c>
      <c r="W37" s="1">
        <f t="shared" si="10"/>
        <v>0</v>
      </c>
      <c r="X37" s="1">
        <f t="shared" si="10"/>
        <v>0</v>
      </c>
    </row>
    <row r="38" spans="2:24" ht="12.75">
      <c r="B38">
        <v>33</v>
      </c>
      <c r="C38">
        <f aca="true" t="shared" si="21" ref="C38:C55">C37+1</f>
        <v>68</v>
      </c>
      <c r="D38" s="82">
        <f>VLOOKUP(C38,Komutacni!$A$9:$B$110,2)</f>
        <v>0.03504005899418361</v>
      </c>
      <c r="E38" s="94">
        <f t="shared" si="11"/>
        <v>0.02303044621380441</v>
      </c>
      <c r="F38" s="94">
        <f t="shared" si="15"/>
        <v>0.6992010605685228</v>
      </c>
      <c r="G38">
        <f aca="true" t="shared" si="22" ref="G38:G55">IF(B38&gt;Dur,0,1)</f>
        <v>0</v>
      </c>
      <c r="H38" s="93">
        <v>0</v>
      </c>
      <c r="I38" s="1">
        <f>G38*Data!$F$5</f>
        <v>0</v>
      </c>
      <c r="J38">
        <f t="shared" si="12"/>
        <v>0</v>
      </c>
      <c r="K38" s="11">
        <f t="shared" si="13"/>
        <v>0</v>
      </c>
      <c r="L38" s="11">
        <f t="shared" si="14"/>
        <v>0</v>
      </c>
      <c r="M38">
        <f aca="true" t="shared" si="23" ref="M38:M55">IF(B38=Dur,$M$2,0)*F38</f>
        <v>0</v>
      </c>
      <c r="N38" s="1">
        <f t="shared" si="16"/>
        <v>0</v>
      </c>
      <c r="O38" s="1">
        <f t="shared" si="17"/>
        <v>0</v>
      </c>
      <c r="P38" s="1">
        <f t="shared" si="18"/>
        <v>0</v>
      </c>
      <c r="Q38" s="1">
        <f t="shared" si="19"/>
        <v>0</v>
      </c>
      <c r="R38" s="1">
        <f t="shared" si="20"/>
        <v>0</v>
      </c>
      <c r="S38" s="1">
        <f aca="true" t="shared" si="24" ref="S38:S55">$S$1*F37*G38-IF(B38=Dur,$S$2,0)*F38</f>
        <v>0</v>
      </c>
      <c r="U38" s="1">
        <f t="shared" si="10"/>
        <v>0</v>
      </c>
      <c r="V38" s="1">
        <f t="shared" si="10"/>
        <v>0</v>
      </c>
      <c r="W38" s="1">
        <f t="shared" si="10"/>
        <v>0</v>
      </c>
      <c r="X38" s="1">
        <f t="shared" si="10"/>
        <v>0</v>
      </c>
    </row>
    <row r="39" spans="2:24" ht="12.75">
      <c r="B39">
        <v>34</v>
      </c>
      <c r="C39">
        <f t="shared" si="21"/>
        <v>69</v>
      </c>
      <c r="D39" s="82">
        <f>VLOOKUP(C39,Komutacni!$A$9:$B$110,2)</f>
        <v>0.037945198008876746</v>
      </c>
      <c r="E39" s="94">
        <f t="shared" si="11"/>
        <v>0.024500046411116787</v>
      </c>
      <c r="F39" s="94">
        <f t="shared" si="15"/>
        <v>0.674701014157406</v>
      </c>
      <c r="G39">
        <f t="shared" si="22"/>
        <v>0</v>
      </c>
      <c r="H39" s="93">
        <v>0</v>
      </c>
      <c r="I39" s="1">
        <f>G39*Data!$F$5</f>
        <v>0</v>
      </c>
      <c r="J39">
        <f t="shared" si="12"/>
        <v>0</v>
      </c>
      <c r="K39" s="11">
        <f t="shared" si="13"/>
        <v>0</v>
      </c>
      <c r="L39" s="11">
        <f t="shared" si="14"/>
        <v>0</v>
      </c>
      <c r="M39">
        <f t="shared" si="23"/>
        <v>0</v>
      </c>
      <c r="N39" s="1">
        <f t="shared" si="16"/>
        <v>0</v>
      </c>
      <c r="O39" s="1">
        <f t="shared" si="17"/>
        <v>0</v>
      </c>
      <c r="P39" s="1">
        <f t="shared" si="18"/>
        <v>0</v>
      </c>
      <c r="Q39" s="1">
        <f t="shared" si="19"/>
        <v>0</v>
      </c>
      <c r="R39" s="1">
        <f t="shared" si="20"/>
        <v>0</v>
      </c>
      <c r="S39" s="1">
        <f t="shared" si="24"/>
        <v>0</v>
      </c>
      <c r="U39" s="1">
        <f t="shared" si="10"/>
        <v>0</v>
      </c>
      <c r="V39" s="1">
        <f t="shared" si="10"/>
        <v>0</v>
      </c>
      <c r="W39" s="1">
        <f t="shared" si="10"/>
        <v>0</v>
      </c>
      <c r="X39" s="1">
        <f t="shared" si="10"/>
        <v>0</v>
      </c>
    </row>
    <row r="40" spans="2:24" ht="12.75">
      <c r="B40">
        <v>35</v>
      </c>
      <c r="C40">
        <f t="shared" si="21"/>
        <v>70</v>
      </c>
      <c r="D40" s="82">
        <f>VLOOKUP(C40,Komutacni!$A$9:$B$110,2)</f>
        <v>0.04108816762562639</v>
      </c>
      <c r="E40" s="94">
        <f t="shared" si="11"/>
        <v>0.025601663578992725</v>
      </c>
      <c r="F40" s="94">
        <f t="shared" si="15"/>
        <v>0.6490993505784133</v>
      </c>
      <c r="G40">
        <f t="shared" si="22"/>
        <v>0</v>
      </c>
      <c r="H40" s="93">
        <v>0</v>
      </c>
      <c r="I40" s="1">
        <f>G40*Data!$F$5</f>
        <v>0</v>
      </c>
      <c r="J40">
        <f t="shared" si="12"/>
        <v>0</v>
      </c>
      <c r="K40" s="11">
        <f t="shared" si="13"/>
        <v>0</v>
      </c>
      <c r="L40" s="11">
        <f t="shared" si="14"/>
        <v>0</v>
      </c>
      <c r="M40">
        <f t="shared" si="23"/>
        <v>0</v>
      </c>
      <c r="N40" s="1">
        <f t="shared" si="16"/>
        <v>0</v>
      </c>
      <c r="O40" s="1">
        <f t="shared" si="17"/>
        <v>0</v>
      </c>
      <c r="P40" s="1">
        <f t="shared" si="18"/>
        <v>0</v>
      </c>
      <c r="Q40" s="1">
        <f t="shared" si="19"/>
        <v>0</v>
      </c>
      <c r="R40" s="1">
        <f t="shared" si="20"/>
        <v>0</v>
      </c>
      <c r="S40" s="1">
        <f t="shared" si="24"/>
        <v>0</v>
      </c>
      <c r="U40" s="1">
        <f t="shared" si="10"/>
        <v>0</v>
      </c>
      <c r="V40" s="1">
        <f t="shared" si="10"/>
        <v>0</v>
      </c>
      <c r="W40" s="1">
        <f t="shared" si="10"/>
        <v>0</v>
      </c>
      <c r="X40" s="1">
        <f t="shared" si="10"/>
        <v>0</v>
      </c>
    </row>
    <row r="41" spans="2:24" ht="12.75">
      <c r="B41">
        <v>36</v>
      </c>
      <c r="C41">
        <f t="shared" si="21"/>
        <v>71</v>
      </c>
      <c r="D41" s="82">
        <f>VLOOKUP(C41,Komutacni!$A$9:$B$110,2)</f>
        <v>0.044237722052279826</v>
      </c>
      <c r="E41" s="94">
        <f t="shared" si="11"/>
        <v>0.026670302922251077</v>
      </c>
      <c r="F41" s="94">
        <f t="shared" si="15"/>
        <v>0.6224290476561622</v>
      </c>
      <c r="G41">
        <f t="shared" si="22"/>
        <v>0</v>
      </c>
      <c r="H41" s="93">
        <v>0</v>
      </c>
      <c r="I41" s="1">
        <f>G41*Data!$F$5</f>
        <v>0</v>
      </c>
      <c r="J41">
        <f t="shared" si="12"/>
        <v>0</v>
      </c>
      <c r="K41" s="11">
        <f t="shared" si="13"/>
        <v>0</v>
      </c>
      <c r="L41" s="11">
        <f t="shared" si="14"/>
        <v>0</v>
      </c>
      <c r="M41">
        <f t="shared" si="23"/>
        <v>0</v>
      </c>
      <c r="N41" s="1">
        <f t="shared" si="16"/>
        <v>0</v>
      </c>
      <c r="O41" s="1">
        <f t="shared" si="17"/>
        <v>0</v>
      </c>
      <c r="P41" s="1">
        <f t="shared" si="18"/>
        <v>0</v>
      </c>
      <c r="Q41" s="1">
        <f t="shared" si="19"/>
        <v>0</v>
      </c>
      <c r="R41" s="1">
        <f t="shared" si="20"/>
        <v>0</v>
      </c>
      <c r="S41" s="1">
        <f t="shared" si="24"/>
        <v>0</v>
      </c>
      <c r="U41" s="1">
        <f t="shared" si="10"/>
        <v>0</v>
      </c>
      <c r="V41" s="1">
        <f t="shared" si="10"/>
        <v>0</v>
      </c>
      <c r="W41" s="1">
        <f t="shared" si="10"/>
        <v>0</v>
      </c>
      <c r="X41" s="1">
        <f t="shared" si="10"/>
        <v>0</v>
      </c>
    </row>
    <row r="42" spans="2:24" ht="12.75">
      <c r="B42">
        <v>37</v>
      </c>
      <c r="C42">
        <f t="shared" si="21"/>
        <v>72</v>
      </c>
      <c r="D42" s="82">
        <f>VLOOKUP(C42,Komutacni!$A$9:$B$110,2)</f>
        <v>0.04756996364544819</v>
      </c>
      <c r="E42" s="94">
        <f t="shared" si="11"/>
        <v>0.02753484320747854</v>
      </c>
      <c r="F42" s="94">
        <f t="shared" si="15"/>
        <v>0.5948942044486837</v>
      </c>
      <c r="G42">
        <f t="shared" si="22"/>
        <v>0</v>
      </c>
      <c r="H42" s="93">
        <v>0</v>
      </c>
      <c r="I42" s="1">
        <f>G42*Data!$F$5</f>
        <v>0</v>
      </c>
      <c r="J42">
        <f t="shared" si="12"/>
        <v>0</v>
      </c>
      <c r="K42" s="11">
        <f t="shared" si="13"/>
        <v>0</v>
      </c>
      <c r="L42" s="11">
        <f t="shared" si="14"/>
        <v>0</v>
      </c>
      <c r="M42">
        <f t="shared" si="23"/>
        <v>0</v>
      </c>
      <c r="N42" s="1">
        <f t="shared" si="16"/>
        <v>0</v>
      </c>
      <c r="O42" s="1">
        <f t="shared" si="17"/>
        <v>0</v>
      </c>
      <c r="P42" s="1">
        <f t="shared" si="18"/>
        <v>0</v>
      </c>
      <c r="Q42" s="1">
        <f t="shared" si="19"/>
        <v>0</v>
      </c>
      <c r="R42" s="1">
        <f t="shared" si="20"/>
        <v>0</v>
      </c>
      <c r="S42" s="1">
        <f t="shared" si="24"/>
        <v>0</v>
      </c>
      <c r="U42" s="1">
        <f t="shared" si="10"/>
        <v>0</v>
      </c>
      <c r="V42" s="1">
        <f t="shared" si="10"/>
        <v>0</v>
      </c>
      <c r="W42" s="1">
        <f t="shared" si="10"/>
        <v>0</v>
      </c>
      <c r="X42" s="1">
        <f t="shared" si="10"/>
        <v>0</v>
      </c>
    </row>
    <row r="43" spans="2:24" ht="12.75">
      <c r="B43">
        <v>38</v>
      </c>
      <c r="C43">
        <f t="shared" si="21"/>
        <v>73</v>
      </c>
      <c r="D43" s="82">
        <f>VLOOKUP(C43,Komutacni!$A$9:$B$110,2)</f>
        <v>0.05098040257972558</v>
      </c>
      <c r="E43" s="94">
        <f t="shared" si="11"/>
        <v>0.028299095678511705</v>
      </c>
      <c r="F43" s="94">
        <f t="shared" si="15"/>
        <v>0.5665951087701719</v>
      </c>
      <c r="G43">
        <f t="shared" si="22"/>
        <v>0</v>
      </c>
      <c r="H43" s="93">
        <v>0</v>
      </c>
      <c r="I43" s="1">
        <f>G43*Data!$F$5</f>
        <v>0</v>
      </c>
      <c r="J43">
        <f t="shared" si="12"/>
        <v>0</v>
      </c>
      <c r="K43" s="11">
        <f t="shared" si="13"/>
        <v>0</v>
      </c>
      <c r="L43" s="11">
        <f t="shared" si="14"/>
        <v>0</v>
      </c>
      <c r="M43">
        <f t="shared" si="23"/>
        <v>0</v>
      </c>
      <c r="N43" s="1">
        <f t="shared" si="16"/>
        <v>0</v>
      </c>
      <c r="O43" s="1">
        <f t="shared" si="17"/>
        <v>0</v>
      </c>
      <c r="P43" s="1">
        <f t="shared" si="18"/>
        <v>0</v>
      </c>
      <c r="Q43" s="1">
        <f t="shared" si="19"/>
        <v>0</v>
      </c>
      <c r="R43" s="1">
        <f t="shared" si="20"/>
        <v>0</v>
      </c>
      <c r="S43" s="1">
        <f t="shared" si="24"/>
        <v>0</v>
      </c>
      <c r="U43" s="1">
        <f t="shared" si="10"/>
        <v>0</v>
      </c>
      <c r="V43" s="1">
        <f t="shared" si="10"/>
        <v>0</v>
      </c>
      <c r="W43" s="1">
        <f t="shared" si="10"/>
        <v>0</v>
      </c>
      <c r="X43" s="1">
        <f t="shared" si="10"/>
        <v>0</v>
      </c>
    </row>
    <row r="44" spans="2:24" ht="12.75">
      <c r="B44">
        <v>39</v>
      </c>
      <c r="C44">
        <f t="shared" si="21"/>
        <v>74</v>
      </c>
      <c r="D44" s="82">
        <f>VLOOKUP(C44,Komutacni!$A$9:$B$110,2)</f>
        <v>0.056861717854665095</v>
      </c>
      <c r="E44" s="94">
        <f t="shared" si="11"/>
        <v>0.028885246744806768</v>
      </c>
      <c r="F44" s="94">
        <f t="shared" si="15"/>
        <v>0.5377098620253652</v>
      </c>
      <c r="G44">
        <f t="shared" si="22"/>
        <v>0</v>
      </c>
      <c r="H44" s="93">
        <v>0</v>
      </c>
      <c r="I44" s="1">
        <f>G44*Data!$F$5</f>
        <v>0</v>
      </c>
      <c r="J44">
        <f t="shared" si="12"/>
        <v>0</v>
      </c>
      <c r="K44" s="11">
        <f t="shared" si="13"/>
        <v>0</v>
      </c>
      <c r="L44" s="11">
        <f t="shared" si="14"/>
        <v>0</v>
      </c>
      <c r="M44">
        <f t="shared" si="23"/>
        <v>0</v>
      </c>
      <c r="N44" s="1">
        <f t="shared" si="16"/>
        <v>0</v>
      </c>
      <c r="O44" s="1">
        <f t="shared" si="17"/>
        <v>0</v>
      </c>
      <c r="P44" s="1">
        <f t="shared" si="18"/>
        <v>0</v>
      </c>
      <c r="Q44" s="1">
        <f t="shared" si="19"/>
        <v>0</v>
      </c>
      <c r="R44" s="1">
        <f t="shared" si="20"/>
        <v>0</v>
      </c>
      <c r="S44" s="1">
        <f t="shared" si="24"/>
        <v>0</v>
      </c>
      <c r="U44" s="1">
        <f t="shared" si="10"/>
        <v>0</v>
      </c>
      <c r="V44" s="1">
        <f t="shared" si="10"/>
        <v>0</v>
      </c>
      <c r="W44" s="1">
        <f t="shared" si="10"/>
        <v>0</v>
      </c>
      <c r="X44" s="1">
        <f t="shared" si="10"/>
        <v>0</v>
      </c>
    </row>
    <row r="45" spans="2:24" ht="12.75">
      <c r="B45">
        <v>40</v>
      </c>
      <c r="C45">
        <f t="shared" si="21"/>
        <v>75</v>
      </c>
      <c r="D45" s="82">
        <f>VLOOKUP(C45,Komutacni!$A$9:$B$110,2)</f>
        <v>0.06308207294597756</v>
      </c>
      <c r="E45" s="94">
        <f t="shared" si="11"/>
        <v>0.030575106462157213</v>
      </c>
      <c r="F45" s="94">
        <f t="shared" si="15"/>
        <v>0.507134755563208</v>
      </c>
      <c r="G45">
        <f t="shared" si="22"/>
        <v>0</v>
      </c>
      <c r="H45" s="93">
        <v>0</v>
      </c>
      <c r="I45" s="1">
        <f>G45*Data!$F$5</f>
        <v>0</v>
      </c>
      <c r="J45">
        <f t="shared" si="12"/>
        <v>0</v>
      </c>
      <c r="K45" s="11">
        <f t="shared" si="13"/>
        <v>0</v>
      </c>
      <c r="L45" s="11">
        <f t="shared" si="14"/>
        <v>0</v>
      </c>
      <c r="M45">
        <f t="shared" si="23"/>
        <v>0</v>
      </c>
      <c r="N45" s="1">
        <f t="shared" si="16"/>
        <v>0</v>
      </c>
      <c r="O45" s="1">
        <f t="shared" si="17"/>
        <v>0</v>
      </c>
      <c r="P45" s="1">
        <f t="shared" si="18"/>
        <v>0</v>
      </c>
      <c r="Q45" s="1">
        <f t="shared" si="19"/>
        <v>0</v>
      </c>
      <c r="R45" s="1">
        <f t="shared" si="20"/>
        <v>0</v>
      </c>
      <c r="S45" s="1">
        <f t="shared" si="24"/>
        <v>0</v>
      </c>
      <c r="U45" s="1">
        <f t="shared" si="10"/>
        <v>0</v>
      </c>
      <c r="V45" s="1">
        <f t="shared" si="10"/>
        <v>0</v>
      </c>
      <c r="W45" s="1">
        <f t="shared" si="10"/>
        <v>0</v>
      </c>
      <c r="X45" s="1">
        <f t="shared" si="10"/>
        <v>0</v>
      </c>
    </row>
    <row r="46" spans="2:24" ht="12.75">
      <c r="B46">
        <v>41</v>
      </c>
      <c r="C46">
        <f t="shared" si="21"/>
        <v>76</v>
      </c>
      <c r="D46" s="82">
        <f>VLOOKUP(C46,Komutacni!$A$9:$B$110,2)</f>
        <v>0.06971758076506884</v>
      </c>
      <c r="E46" s="94">
        <f t="shared" si="11"/>
        <v>0.031991111643878786</v>
      </c>
      <c r="F46" s="94">
        <f t="shared" si="15"/>
        <v>0.4751436439193292</v>
      </c>
      <c r="G46">
        <f t="shared" si="22"/>
        <v>0</v>
      </c>
      <c r="H46" s="93">
        <v>0</v>
      </c>
      <c r="I46" s="1">
        <f>G46*Data!$F$5</f>
        <v>0</v>
      </c>
      <c r="J46">
        <f t="shared" si="12"/>
        <v>0</v>
      </c>
      <c r="K46" s="11">
        <f t="shared" si="13"/>
        <v>0</v>
      </c>
      <c r="L46" s="11">
        <f t="shared" si="14"/>
        <v>0</v>
      </c>
      <c r="M46">
        <f t="shared" si="23"/>
        <v>0</v>
      </c>
      <c r="N46" s="1">
        <f t="shared" si="16"/>
        <v>0</v>
      </c>
      <c r="O46" s="1">
        <f t="shared" si="17"/>
        <v>0</v>
      </c>
      <c r="P46" s="1">
        <f t="shared" si="18"/>
        <v>0</v>
      </c>
      <c r="Q46" s="1">
        <f t="shared" si="19"/>
        <v>0</v>
      </c>
      <c r="R46" s="1">
        <f t="shared" si="20"/>
        <v>0</v>
      </c>
      <c r="S46" s="1">
        <f t="shared" si="24"/>
        <v>0</v>
      </c>
      <c r="U46" s="1">
        <f t="shared" si="10"/>
        <v>0</v>
      </c>
      <c r="V46" s="1">
        <f t="shared" si="10"/>
        <v>0</v>
      </c>
      <c r="W46" s="1">
        <f t="shared" si="10"/>
        <v>0</v>
      </c>
      <c r="X46" s="1">
        <f t="shared" si="10"/>
        <v>0</v>
      </c>
    </row>
    <row r="47" spans="2:24" ht="12.75">
      <c r="B47">
        <v>42</v>
      </c>
      <c r="C47">
        <f t="shared" si="21"/>
        <v>77</v>
      </c>
      <c r="D47" s="82">
        <f>VLOOKUP(C47,Komutacni!$A$9:$B$110,2)</f>
        <v>0.0763093384731679</v>
      </c>
      <c r="E47" s="94">
        <f t="shared" si="11"/>
        <v>0.033125865369954946</v>
      </c>
      <c r="F47" s="94">
        <f t="shared" si="15"/>
        <v>0.44201777854937424</v>
      </c>
      <c r="G47">
        <f t="shared" si="22"/>
        <v>0</v>
      </c>
      <c r="H47" s="93">
        <v>0</v>
      </c>
      <c r="I47" s="1">
        <f>G47*Data!$F$5</f>
        <v>0</v>
      </c>
      <c r="J47">
        <f t="shared" si="12"/>
        <v>0</v>
      </c>
      <c r="K47" s="11">
        <f t="shared" si="13"/>
        <v>0</v>
      </c>
      <c r="L47" s="11">
        <f t="shared" si="14"/>
        <v>0</v>
      </c>
      <c r="M47">
        <f t="shared" si="23"/>
        <v>0</v>
      </c>
      <c r="N47" s="1">
        <f t="shared" si="16"/>
        <v>0</v>
      </c>
      <c r="O47" s="1">
        <f t="shared" si="17"/>
        <v>0</v>
      </c>
      <c r="P47" s="1">
        <f t="shared" si="18"/>
        <v>0</v>
      </c>
      <c r="Q47" s="1">
        <f t="shared" si="19"/>
        <v>0</v>
      </c>
      <c r="R47" s="1">
        <f t="shared" si="20"/>
        <v>0</v>
      </c>
      <c r="S47" s="1">
        <f t="shared" si="24"/>
        <v>0</v>
      </c>
      <c r="U47" s="1">
        <f t="shared" si="10"/>
        <v>0</v>
      </c>
      <c r="V47" s="1">
        <f t="shared" si="10"/>
        <v>0</v>
      </c>
      <c r="W47" s="1">
        <f t="shared" si="10"/>
        <v>0</v>
      </c>
      <c r="X47" s="1">
        <f t="shared" si="10"/>
        <v>0</v>
      </c>
    </row>
    <row r="48" spans="2:24" ht="12.75">
      <c r="B48">
        <v>43</v>
      </c>
      <c r="C48">
        <f t="shared" si="21"/>
        <v>78</v>
      </c>
      <c r="D48" s="82">
        <f>VLOOKUP(C48,Komutacni!$A$9:$B$110,2)</f>
        <v>0.0835521774728114</v>
      </c>
      <c r="E48" s="94">
        <f t="shared" si="11"/>
        <v>0.03373008427448197</v>
      </c>
      <c r="F48" s="94">
        <f t="shared" si="15"/>
        <v>0.40828769427489225</v>
      </c>
      <c r="G48">
        <f t="shared" si="22"/>
        <v>0</v>
      </c>
      <c r="H48" s="93">
        <v>0</v>
      </c>
      <c r="I48" s="1">
        <f>G48*Data!$F$5</f>
        <v>0</v>
      </c>
      <c r="J48">
        <f t="shared" si="12"/>
        <v>0</v>
      </c>
      <c r="K48" s="11">
        <f t="shared" si="13"/>
        <v>0</v>
      </c>
      <c r="L48" s="11">
        <f t="shared" si="14"/>
        <v>0</v>
      </c>
      <c r="M48">
        <f t="shared" si="23"/>
        <v>0</v>
      </c>
      <c r="N48" s="1">
        <f t="shared" si="16"/>
        <v>0</v>
      </c>
      <c r="O48" s="1">
        <f t="shared" si="17"/>
        <v>0</v>
      </c>
      <c r="P48" s="1">
        <f t="shared" si="18"/>
        <v>0</v>
      </c>
      <c r="Q48" s="1">
        <f t="shared" si="19"/>
        <v>0</v>
      </c>
      <c r="R48" s="1">
        <f t="shared" si="20"/>
        <v>0</v>
      </c>
      <c r="S48" s="1">
        <f t="shared" si="24"/>
        <v>0</v>
      </c>
      <c r="U48" s="1">
        <f t="shared" si="10"/>
        <v>0</v>
      </c>
      <c r="V48" s="1">
        <f t="shared" si="10"/>
        <v>0</v>
      </c>
      <c r="W48" s="1">
        <f t="shared" si="10"/>
        <v>0</v>
      </c>
      <c r="X48" s="1">
        <f t="shared" si="10"/>
        <v>0</v>
      </c>
    </row>
    <row r="49" spans="2:24" ht="12.75">
      <c r="B49">
        <v>44</v>
      </c>
      <c r="C49">
        <f t="shared" si="21"/>
        <v>79</v>
      </c>
      <c r="D49" s="82">
        <f>VLOOKUP(C49,Komutacni!$A$9:$B$110,2)</f>
        <v>0.09166547976112305</v>
      </c>
      <c r="E49" s="94">
        <f t="shared" si="11"/>
        <v>0.03411332589202076</v>
      </c>
      <c r="F49" s="94">
        <f t="shared" si="15"/>
        <v>0.3741743683828715</v>
      </c>
      <c r="G49">
        <f t="shared" si="22"/>
        <v>0</v>
      </c>
      <c r="H49" s="93">
        <v>0</v>
      </c>
      <c r="I49" s="1">
        <f>G49*Data!$F$5</f>
        <v>0</v>
      </c>
      <c r="J49">
        <f t="shared" si="12"/>
        <v>0</v>
      </c>
      <c r="K49" s="11">
        <f t="shared" si="13"/>
        <v>0</v>
      </c>
      <c r="L49" s="11">
        <f t="shared" si="14"/>
        <v>0</v>
      </c>
      <c r="M49">
        <f t="shared" si="23"/>
        <v>0</v>
      </c>
      <c r="N49" s="1">
        <f t="shared" si="16"/>
        <v>0</v>
      </c>
      <c r="O49" s="1">
        <f t="shared" si="17"/>
        <v>0</v>
      </c>
      <c r="P49" s="1">
        <f t="shared" si="18"/>
        <v>0</v>
      </c>
      <c r="Q49" s="1">
        <f t="shared" si="19"/>
        <v>0</v>
      </c>
      <c r="R49" s="1">
        <f t="shared" si="20"/>
        <v>0</v>
      </c>
      <c r="S49" s="1">
        <f t="shared" si="24"/>
        <v>0</v>
      </c>
      <c r="U49" s="1">
        <f t="shared" si="10"/>
        <v>0</v>
      </c>
      <c r="V49" s="1">
        <f t="shared" si="10"/>
        <v>0</v>
      </c>
      <c r="W49" s="1">
        <f t="shared" si="10"/>
        <v>0</v>
      </c>
      <c r="X49" s="1">
        <f t="shared" si="10"/>
        <v>0</v>
      </c>
    </row>
    <row r="50" spans="2:24" ht="12.75">
      <c r="B50">
        <v>45</v>
      </c>
      <c r="C50">
        <f t="shared" si="21"/>
        <v>80</v>
      </c>
      <c r="D50" s="82">
        <f>VLOOKUP(C50,Komutacni!$A$9:$B$110,2)</f>
        <v>0.10078060151206325</v>
      </c>
      <c r="E50" s="94">
        <f t="shared" si="11"/>
        <v>0.03429887299213111</v>
      </c>
      <c r="F50" s="94">
        <f t="shared" si="15"/>
        <v>0.33987549539074036</v>
      </c>
      <c r="G50">
        <f t="shared" si="22"/>
        <v>0</v>
      </c>
      <c r="H50" s="93">
        <v>0</v>
      </c>
      <c r="I50" s="1">
        <f>G50*Data!$F$5</f>
        <v>0</v>
      </c>
      <c r="J50">
        <f t="shared" si="12"/>
        <v>0</v>
      </c>
      <c r="K50" s="11">
        <f t="shared" si="13"/>
        <v>0</v>
      </c>
      <c r="L50" s="11">
        <f t="shared" si="14"/>
        <v>0</v>
      </c>
      <c r="M50">
        <f t="shared" si="23"/>
        <v>0</v>
      </c>
      <c r="N50" s="1">
        <f t="shared" si="16"/>
        <v>0</v>
      </c>
      <c r="O50" s="1">
        <f t="shared" si="17"/>
        <v>0</v>
      </c>
      <c r="P50" s="1">
        <f t="shared" si="18"/>
        <v>0</v>
      </c>
      <c r="Q50" s="1">
        <f t="shared" si="19"/>
        <v>0</v>
      </c>
      <c r="R50" s="1">
        <f t="shared" si="20"/>
        <v>0</v>
      </c>
      <c r="S50" s="1">
        <f t="shared" si="24"/>
        <v>0</v>
      </c>
      <c r="U50" s="1">
        <f t="shared" si="10"/>
        <v>0</v>
      </c>
      <c r="V50" s="1">
        <f t="shared" si="10"/>
        <v>0</v>
      </c>
      <c r="W50" s="1">
        <f t="shared" si="10"/>
        <v>0</v>
      </c>
      <c r="X50" s="1">
        <f t="shared" si="10"/>
        <v>0</v>
      </c>
    </row>
    <row r="51" spans="2:24" ht="12.75">
      <c r="B51">
        <v>46</v>
      </c>
      <c r="C51">
        <f t="shared" si="21"/>
        <v>81</v>
      </c>
      <c r="D51" s="82">
        <f>VLOOKUP(C51,Komutacni!$A$9:$B$110,2)</f>
        <v>0.11077520983565159</v>
      </c>
      <c r="E51" s="94">
        <f t="shared" si="11"/>
        <v>0.03425285686468929</v>
      </c>
      <c r="F51" s="94">
        <f t="shared" si="15"/>
        <v>0.3056226385260511</v>
      </c>
      <c r="G51">
        <f t="shared" si="22"/>
        <v>0</v>
      </c>
      <c r="H51" s="93">
        <v>0</v>
      </c>
      <c r="I51" s="1">
        <f>G51*Data!$F$5</f>
        <v>0</v>
      </c>
      <c r="J51">
        <f t="shared" si="12"/>
        <v>0</v>
      </c>
      <c r="K51" s="11">
        <f t="shared" si="13"/>
        <v>0</v>
      </c>
      <c r="L51" s="11">
        <f t="shared" si="14"/>
        <v>0</v>
      </c>
      <c r="M51">
        <f t="shared" si="23"/>
        <v>0</v>
      </c>
      <c r="N51" s="1">
        <f t="shared" si="16"/>
        <v>0</v>
      </c>
      <c r="O51" s="1">
        <f t="shared" si="17"/>
        <v>0</v>
      </c>
      <c r="P51" s="1">
        <f t="shared" si="18"/>
        <v>0</v>
      </c>
      <c r="Q51" s="1">
        <f t="shared" si="19"/>
        <v>0</v>
      </c>
      <c r="R51" s="1">
        <f t="shared" si="20"/>
        <v>0</v>
      </c>
      <c r="S51" s="1">
        <f t="shared" si="24"/>
        <v>0</v>
      </c>
      <c r="U51" s="1">
        <f t="shared" si="10"/>
        <v>0</v>
      </c>
      <c r="V51" s="1">
        <f t="shared" si="10"/>
        <v>0</v>
      </c>
      <c r="W51" s="1">
        <f t="shared" si="10"/>
        <v>0</v>
      </c>
      <c r="X51" s="1">
        <f t="shared" si="10"/>
        <v>0</v>
      </c>
    </row>
    <row r="52" spans="2:24" ht="12.75">
      <c r="B52">
        <v>47</v>
      </c>
      <c r="C52">
        <f t="shared" si="21"/>
        <v>82</v>
      </c>
      <c r="D52" s="82">
        <f>VLOOKUP(C52,Komutacni!$A$9:$B$110,2)</f>
        <v>0.12175989852855407</v>
      </c>
      <c r="E52" s="94">
        <f t="shared" si="11"/>
        <v>0.033855411913248805</v>
      </c>
      <c r="F52" s="94">
        <f t="shared" si="15"/>
        <v>0.2717672266128023</v>
      </c>
      <c r="G52">
        <f t="shared" si="22"/>
        <v>0</v>
      </c>
      <c r="H52" s="93">
        <v>0</v>
      </c>
      <c r="I52" s="1">
        <f>G52*Data!$F$5</f>
        <v>0</v>
      </c>
      <c r="J52">
        <f t="shared" si="12"/>
        <v>0</v>
      </c>
      <c r="K52" s="11">
        <f t="shared" si="13"/>
        <v>0</v>
      </c>
      <c r="L52" s="11">
        <f t="shared" si="14"/>
        <v>0</v>
      </c>
      <c r="M52">
        <f t="shared" si="23"/>
        <v>0</v>
      </c>
      <c r="N52" s="1">
        <f t="shared" si="16"/>
        <v>0</v>
      </c>
      <c r="O52" s="1">
        <f t="shared" si="17"/>
        <v>0</v>
      </c>
      <c r="P52" s="1">
        <f t="shared" si="18"/>
        <v>0</v>
      </c>
      <c r="Q52" s="1">
        <f t="shared" si="19"/>
        <v>0</v>
      </c>
      <c r="R52" s="1">
        <f t="shared" si="20"/>
        <v>0</v>
      </c>
      <c r="S52" s="1">
        <f t="shared" si="24"/>
        <v>0</v>
      </c>
      <c r="U52" s="1">
        <f t="shared" si="10"/>
        <v>0</v>
      </c>
      <c r="V52" s="1">
        <f t="shared" si="10"/>
        <v>0</v>
      </c>
      <c r="W52" s="1">
        <f t="shared" si="10"/>
        <v>0</v>
      </c>
      <c r="X52" s="1">
        <f t="shared" si="10"/>
        <v>0</v>
      </c>
    </row>
    <row r="53" spans="2:24" ht="12.75">
      <c r="B53">
        <v>48</v>
      </c>
      <c r="C53">
        <f t="shared" si="21"/>
        <v>83</v>
      </c>
      <c r="D53" s="82">
        <f>VLOOKUP(C53,Komutacni!$A$9:$B$110,2)</f>
        <v>0.13381678460342494</v>
      </c>
      <c r="E53" s="94">
        <f t="shared" si="11"/>
        <v>0.03309034993576136</v>
      </c>
      <c r="F53" s="94">
        <f t="shared" si="15"/>
        <v>0.2386768766770409</v>
      </c>
      <c r="G53">
        <f t="shared" si="22"/>
        <v>0</v>
      </c>
      <c r="H53" s="93">
        <v>0</v>
      </c>
      <c r="I53" s="1">
        <f>G53*Data!$F$5</f>
        <v>0</v>
      </c>
      <c r="J53">
        <f t="shared" si="12"/>
        <v>0</v>
      </c>
      <c r="K53" s="11">
        <f t="shared" si="13"/>
        <v>0</v>
      </c>
      <c r="L53" s="11">
        <f t="shared" si="14"/>
        <v>0</v>
      </c>
      <c r="M53">
        <f t="shared" si="23"/>
        <v>0</v>
      </c>
      <c r="N53" s="1">
        <f t="shared" si="16"/>
        <v>0</v>
      </c>
      <c r="O53" s="1">
        <f t="shared" si="17"/>
        <v>0</v>
      </c>
      <c r="P53" s="1">
        <f t="shared" si="18"/>
        <v>0</v>
      </c>
      <c r="Q53" s="1">
        <f t="shared" si="19"/>
        <v>0</v>
      </c>
      <c r="R53" s="1">
        <f t="shared" si="20"/>
        <v>0</v>
      </c>
      <c r="S53" s="1">
        <f t="shared" si="24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</row>
    <row r="54" spans="2:24" ht="12.75">
      <c r="B54">
        <v>49</v>
      </c>
      <c r="C54">
        <f t="shared" si="21"/>
        <v>84</v>
      </c>
      <c r="D54" s="82">
        <f>VLOOKUP(C54,Komutacni!$A$9:$B$110,2)</f>
        <v>0.1470310672417109</v>
      </c>
      <c r="E54" s="94">
        <f t="shared" si="11"/>
        <v>0.0319389721961098</v>
      </c>
      <c r="F54" s="94">
        <f t="shared" si="15"/>
        <v>0.2067379044809311</v>
      </c>
      <c r="G54">
        <f t="shared" si="22"/>
        <v>0</v>
      </c>
      <c r="H54" s="93">
        <v>0</v>
      </c>
      <c r="I54" s="1">
        <f>G54*Data!$F$5</f>
        <v>0</v>
      </c>
      <c r="J54">
        <f t="shared" si="12"/>
        <v>0</v>
      </c>
      <c r="K54" s="11">
        <f t="shared" si="13"/>
        <v>0</v>
      </c>
      <c r="L54" s="11">
        <f t="shared" si="14"/>
        <v>0</v>
      </c>
      <c r="M54">
        <f t="shared" si="23"/>
        <v>0</v>
      </c>
      <c r="N54" s="1">
        <f t="shared" si="16"/>
        <v>0</v>
      </c>
      <c r="O54" s="1">
        <f t="shared" si="17"/>
        <v>0</v>
      </c>
      <c r="P54" s="1">
        <f t="shared" si="18"/>
        <v>0</v>
      </c>
      <c r="Q54" s="1">
        <f t="shared" si="19"/>
        <v>0</v>
      </c>
      <c r="R54" s="1">
        <f t="shared" si="20"/>
        <v>0</v>
      </c>
      <c r="S54" s="1">
        <f t="shared" si="24"/>
        <v>0</v>
      </c>
      <c r="U54" s="1">
        <f t="shared" si="10"/>
        <v>0</v>
      </c>
      <c r="V54" s="1">
        <f t="shared" si="10"/>
        <v>0</v>
      </c>
      <c r="W54" s="1">
        <f t="shared" si="10"/>
        <v>0</v>
      </c>
      <c r="X54" s="1">
        <f t="shared" si="10"/>
        <v>0</v>
      </c>
    </row>
    <row r="55" spans="2:24" ht="12.75">
      <c r="B55">
        <v>50</v>
      </c>
      <c r="C55">
        <f t="shared" si="21"/>
        <v>85</v>
      </c>
      <c r="D55" s="82">
        <f>VLOOKUP(C55,Komutacni!$A$9:$B$110,2)</f>
        <v>0.161490173234332</v>
      </c>
      <c r="E55" s="94">
        <f t="shared" si="11"/>
        <v>0.030396894735146184</v>
      </c>
      <c r="F55" s="94">
        <f t="shared" si="15"/>
        <v>0.17634100974578493</v>
      </c>
      <c r="G55">
        <f t="shared" si="22"/>
        <v>0</v>
      </c>
      <c r="H55" s="93">
        <v>0</v>
      </c>
      <c r="I55" s="1">
        <f>G55*Data!$F$5</f>
        <v>0</v>
      </c>
      <c r="J55">
        <f t="shared" si="12"/>
        <v>0</v>
      </c>
      <c r="K55" s="11">
        <f t="shared" si="13"/>
        <v>0</v>
      </c>
      <c r="L55" s="11">
        <f t="shared" si="14"/>
        <v>0</v>
      </c>
      <c r="M55">
        <f t="shared" si="23"/>
        <v>0</v>
      </c>
      <c r="N55" s="1">
        <f t="shared" si="16"/>
        <v>0</v>
      </c>
      <c r="O55" s="1">
        <f t="shared" si="17"/>
        <v>0</v>
      </c>
      <c r="P55" s="1">
        <f t="shared" si="18"/>
        <v>0</v>
      </c>
      <c r="Q55" s="1">
        <f t="shared" si="19"/>
        <v>0</v>
      </c>
      <c r="R55" s="1">
        <f t="shared" si="20"/>
        <v>0</v>
      </c>
      <c r="S55" s="1">
        <f t="shared" si="24"/>
        <v>0</v>
      </c>
      <c r="U55" s="1">
        <f>O55+$S55</f>
        <v>0</v>
      </c>
      <c r="V55" s="1">
        <f>P55+$S55</f>
        <v>0</v>
      </c>
      <c r="W55" s="1">
        <f>Q55+$S55</f>
        <v>0</v>
      </c>
      <c r="X55" s="1">
        <f>R55+$S55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FinQ.cz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Vše o kapitálovém pojištění</dc:title>
  <dc:subject/>
  <dc:creator>Martin Podávka</dc:creator>
  <cp:keywords/>
  <dc:description/>
  <cp:lastModifiedBy>Allianz pojišťovna, a.s.</cp:lastModifiedBy>
  <dcterms:created xsi:type="dcterms:W3CDTF">2000-01-25T08:13:32Z</dcterms:created>
  <dcterms:modified xsi:type="dcterms:W3CDTF">2005-01-10T11:02:19Z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-586736790</vt:i4>
  </property>
  <property fmtid="{D5CDD505-2E9C-101B-9397-08002B2CF9AE}" pid="3" name="_EmailSubject">
    <vt:lpwstr>PT_KD1_SMS.xls</vt:lpwstr>
  </property>
  <property fmtid="{D5CDD505-2E9C-101B-9397-08002B2CF9AE}" pid="4" name="_AuthorEmail">
    <vt:lpwstr>Lukasek@allianz.cz</vt:lpwstr>
  </property>
  <property fmtid="{D5CDD505-2E9C-101B-9397-08002B2CF9AE}" pid="5" name="_AuthorEmailDisplayName">
    <vt:lpwstr>Lukasek Josef</vt:lpwstr>
  </property>
  <property fmtid="{D5CDD505-2E9C-101B-9397-08002B2CF9AE}" pid="6" name="_ReviewingToolsShownOnce">
    <vt:lpwstr/>
  </property>
</Properties>
</file>